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 tabRatio="1000" activeTab="2"/>
  </bookViews>
  <sheets>
    <sheet name="resumen" sheetId="1" r:id="rId1"/>
    <sheet name="Fancoils" sheetId="2" r:id="rId2"/>
    <sheet name="EQUIPOS" sheetId="3" r:id="rId3"/>
    <sheet name="CALCULO" sheetId="4" r:id="rId4"/>
    <sheet name="REPORTE" sheetId="5" r:id="rId5"/>
  </sheets>
  <calcPr calcId="144525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8" i="3" l="1"/>
  <c r="N19" i="3" s="1"/>
  <c r="K47" i="3"/>
  <c r="B47" i="3" s="1"/>
  <c r="B5" i="3"/>
  <c r="T89" i="5"/>
  <c r="R89" i="5"/>
  <c r="S89" i="5" s="1"/>
  <c r="R88" i="5"/>
  <c r="T87" i="5"/>
  <c r="S87" i="5"/>
  <c r="R87" i="5"/>
  <c r="R86" i="5"/>
  <c r="T86" i="5" s="1"/>
  <c r="S85" i="5"/>
  <c r="R85" i="5"/>
  <c r="T85" i="5" s="1"/>
  <c r="T84" i="5"/>
  <c r="R84" i="5"/>
  <c r="S84" i="5" s="1"/>
  <c r="R83" i="5"/>
  <c r="T83" i="5" s="1"/>
  <c r="T82" i="5"/>
  <c r="R82" i="5"/>
  <c r="S82" i="5" s="1"/>
  <c r="T81" i="5"/>
  <c r="S81" i="5"/>
  <c r="R81" i="5"/>
  <c r="R80" i="5"/>
  <c r="T79" i="5"/>
  <c r="S79" i="5"/>
  <c r="R79" i="5"/>
  <c r="R77" i="5"/>
  <c r="T77" i="5" s="1"/>
  <c r="R76" i="5"/>
  <c r="T76" i="5" s="1"/>
  <c r="R75" i="5"/>
  <c r="T75" i="5" s="1"/>
  <c r="T73" i="5"/>
  <c r="R73" i="5"/>
  <c r="S73" i="5" s="1"/>
  <c r="R71" i="5"/>
  <c r="T69" i="5"/>
  <c r="S69" i="5"/>
  <c r="R69" i="5"/>
  <c r="R67" i="5"/>
  <c r="T67" i="5" s="1"/>
  <c r="S65" i="5"/>
  <c r="R65" i="5"/>
  <c r="T65" i="5" s="1"/>
  <c r="T63" i="5"/>
  <c r="S63" i="5"/>
  <c r="R63" i="5"/>
  <c r="R62" i="5"/>
  <c r="T62" i="5" s="1"/>
  <c r="T61" i="5"/>
  <c r="R61" i="5"/>
  <c r="S61" i="5" s="1"/>
  <c r="T60" i="5"/>
  <c r="R60" i="5"/>
  <c r="S60" i="5" s="1"/>
  <c r="R58" i="5"/>
  <c r="T57" i="5"/>
  <c r="S57" i="5"/>
  <c r="R57" i="5"/>
  <c r="R56" i="5"/>
  <c r="T56" i="5" s="1"/>
  <c r="S54" i="5"/>
  <c r="R54" i="5"/>
  <c r="T54" i="5" s="1"/>
  <c r="T53" i="5"/>
  <c r="R53" i="5"/>
  <c r="Q52" i="5"/>
  <c r="R52" i="5" s="1"/>
  <c r="T52" i="5" s="1"/>
  <c r="S50" i="5"/>
  <c r="R50" i="5"/>
  <c r="T50" i="5" s="1"/>
  <c r="T48" i="5"/>
  <c r="R48" i="5"/>
  <c r="S48" i="5" s="1"/>
  <c r="R38" i="5"/>
  <c r="T38" i="5" s="1"/>
  <c r="T36" i="5"/>
  <c r="R36" i="5"/>
  <c r="S36" i="5" s="1"/>
  <c r="R34" i="5"/>
  <c r="T34" i="5" s="1"/>
  <c r="R32" i="5"/>
  <c r="T31" i="5"/>
  <c r="S31" i="5"/>
  <c r="R31" i="5"/>
  <c r="R30" i="5"/>
  <c r="T30" i="5" s="1"/>
  <c r="S29" i="5"/>
  <c r="R29" i="5"/>
  <c r="T29" i="5" s="1"/>
  <c r="T28" i="5"/>
  <c r="R28" i="5"/>
  <c r="S28" i="5" s="1"/>
  <c r="Q26" i="5"/>
  <c r="R26" i="5" s="1"/>
  <c r="T25" i="5"/>
  <c r="S25" i="5"/>
  <c r="R25" i="5"/>
  <c r="R24" i="5"/>
  <c r="T24" i="5" s="1"/>
  <c r="Q22" i="5"/>
  <c r="R22" i="5" s="1"/>
  <c r="T22" i="5" s="1"/>
  <c r="T21" i="5"/>
  <c r="R21" i="5"/>
  <c r="S21" i="5" s="1"/>
  <c r="R20" i="5"/>
  <c r="T19" i="5"/>
  <c r="S19" i="5"/>
  <c r="R19" i="5"/>
  <c r="R18" i="5"/>
  <c r="T18" i="5" s="1"/>
  <c r="Q17" i="5"/>
  <c r="R17" i="5" s="1"/>
  <c r="T17" i="5" s="1"/>
  <c r="T16" i="5"/>
  <c r="S16" i="5"/>
  <c r="R16" i="5"/>
  <c r="R15" i="5"/>
  <c r="T15" i="5" s="1"/>
  <c r="S14" i="5"/>
  <c r="R14" i="5"/>
  <c r="T14" i="5" s="1"/>
  <c r="T13" i="5"/>
  <c r="S13" i="5"/>
  <c r="R13" i="5"/>
  <c r="R12" i="5"/>
  <c r="S12" i="5" s="1"/>
  <c r="S11" i="5"/>
  <c r="R11" i="5"/>
  <c r="T11" i="5" s="1"/>
  <c r="T10" i="5"/>
  <c r="S10" i="5"/>
  <c r="R10" i="5"/>
  <c r="R9" i="5"/>
  <c r="T9" i="5" s="1"/>
  <c r="T8" i="5"/>
  <c r="R8" i="5"/>
  <c r="S8" i="5" s="1"/>
  <c r="T7" i="5"/>
  <c r="R7" i="5"/>
  <c r="S7" i="5" s="1"/>
  <c r="R6" i="5"/>
  <c r="N42" i="4"/>
  <c r="N41" i="4"/>
  <c r="O41" i="4" s="1"/>
  <c r="N40" i="4"/>
  <c r="O40" i="4" s="1"/>
  <c r="O39" i="4"/>
  <c r="O38" i="4"/>
  <c r="AF36" i="4"/>
  <c r="AB34" i="4"/>
  <c r="AA34" i="4"/>
  <c r="AF30" i="4"/>
  <c r="AG30" i="4" s="1"/>
  <c r="AD30" i="4"/>
  <c r="AE30" i="4" s="1"/>
  <c r="AB30" i="4"/>
  <c r="AA30" i="4"/>
  <c r="Y30" i="4"/>
  <c r="AH30" i="4" s="1"/>
  <c r="AI30" i="4" s="1"/>
  <c r="U30" i="4"/>
  <c r="K30" i="4"/>
  <c r="L30" i="4" s="1"/>
  <c r="G30" i="4"/>
  <c r="H30" i="4" s="1"/>
  <c r="AH29" i="4"/>
  <c r="AI29" i="4" s="1"/>
  <c r="AF29" i="4"/>
  <c r="AG29" i="4" s="1"/>
  <c r="AD29" i="4"/>
  <c r="AE29" i="4" s="1"/>
  <c r="AA29" i="4"/>
  <c r="AB29" i="4" s="1"/>
  <c r="K29" i="4"/>
  <c r="L29" i="4" s="1"/>
  <c r="G29" i="4"/>
  <c r="H29" i="4" s="1"/>
  <c r="AI28" i="4"/>
  <c r="AH28" i="4"/>
  <c r="AF28" i="4"/>
  <c r="AG28" i="4" s="1"/>
  <c r="AD28" i="4"/>
  <c r="AE28" i="4" s="1"/>
  <c r="AB28" i="4"/>
  <c r="AA28" i="4"/>
  <c r="K28" i="4"/>
  <c r="L28" i="4" s="1"/>
  <c r="G28" i="4"/>
  <c r="H28" i="4" s="1"/>
  <c r="B28" i="4"/>
  <c r="AH27" i="4"/>
  <c r="AI27" i="4" s="1"/>
  <c r="AF27" i="4"/>
  <c r="AG27" i="4" s="1"/>
  <c r="AD27" i="4"/>
  <c r="AE27" i="4" s="1"/>
  <c r="AA27" i="4"/>
  <c r="AB27" i="4" s="1"/>
  <c r="L27" i="4"/>
  <c r="M27" i="4" s="1"/>
  <c r="K27" i="4"/>
  <c r="H27" i="4"/>
  <c r="C27" i="4"/>
  <c r="B16" i="4"/>
  <c r="B15" i="4"/>
  <c r="E14" i="4"/>
  <c r="G14" i="4" s="1"/>
  <c r="E13" i="4"/>
  <c r="G13" i="4" s="1"/>
  <c r="N12" i="4"/>
  <c r="G12" i="4"/>
  <c r="E12" i="4"/>
  <c r="E11" i="4"/>
  <c r="G11" i="4" s="1"/>
  <c r="E10" i="4"/>
  <c r="G10" i="4" s="1"/>
  <c r="G9" i="4"/>
  <c r="E9" i="4"/>
  <c r="G8" i="4"/>
  <c r="E8" i="4"/>
  <c r="E7" i="4"/>
  <c r="G7" i="4" s="1"/>
  <c r="E6" i="4"/>
  <c r="G6" i="4" s="1"/>
  <c r="G5" i="4"/>
  <c r="E5" i="4"/>
  <c r="G4" i="4"/>
  <c r="E4" i="4"/>
  <c r="G40" i="3"/>
  <c r="H40" i="3" s="1"/>
  <c r="I40" i="3" s="1"/>
  <c r="G32" i="3"/>
  <c r="G30" i="3"/>
  <c r="G23" i="3"/>
  <c r="G24" i="3" s="1"/>
  <c r="G25" i="3" s="1"/>
  <c r="G26" i="3" s="1"/>
  <c r="G27" i="3" s="1"/>
  <c r="G28" i="3" s="1"/>
  <c r="B11" i="3"/>
  <c r="B10" i="3"/>
  <c r="B7" i="3"/>
  <c r="B6" i="3"/>
  <c r="B4" i="3"/>
  <c r="H34" i="2"/>
  <c r="F23" i="2"/>
  <c r="S21" i="2"/>
  <c r="G21" i="2"/>
  <c r="S20" i="2"/>
  <c r="G20" i="2"/>
  <c r="S19" i="2"/>
  <c r="G19" i="2"/>
  <c r="S18" i="2"/>
  <c r="G18" i="2"/>
  <c r="S17" i="2"/>
  <c r="G17" i="2"/>
  <c r="S16" i="2"/>
  <c r="G16" i="2"/>
  <c r="S15" i="2"/>
  <c r="G15" i="2"/>
  <c r="S14" i="2"/>
  <c r="G14" i="2"/>
  <c r="S13" i="2"/>
  <c r="H13" i="2"/>
  <c r="G13" i="2"/>
  <c r="H11" i="2"/>
  <c r="G11" i="2"/>
  <c r="F11" i="2"/>
  <c r="E11" i="2"/>
  <c r="D11" i="2"/>
  <c r="C11" i="2"/>
  <c r="I11" i="2" s="1"/>
  <c r="H10" i="2"/>
  <c r="G10" i="2"/>
  <c r="F10" i="2"/>
  <c r="E10" i="2"/>
  <c r="D10" i="2"/>
  <c r="C10" i="2"/>
  <c r="I10" i="2" s="1"/>
  <c r="L117" i="1"/>
  <c r="O105" i="1"/>
  <c r="P105" i="1" s="1"/>
  <c r="Z105" i="1" s="1"/>
  <c r="M105" i="1"/>
  <c r="K105" i="1"/>
  <c r="J105" i="1"/>
  <c r="Q105" i="1" s="1"/>
  <c r="C105" i="1"/>
  <c r="P104" i="1"/>
  <c r="O104" i="1"/>
  <c r="N104" i="1"/>
  <c r="J104" i="1"/>
  <c r="M104" i="1" s="1"/>
  <c r="C104" i="1"/>
  <c r="Q103" i="1"/>
  <c r="O103" i="1"/>
  <c r="P103" i="1" s="1"/>
  <c r="M103" i="1"/>
  <c r="L103" i="1"/>
  <c r="K103" i="1"/>
  <c r="J103" i="1"/>
  <c r="N103" i="1" s="1"/>
  <c r="T103" i="1" s="1"/>
  <c r="C103" i="1"/>
  <c r="Q102" i="1"/>
  <c r="O102" i="1"/>
  <c r="P102" i="1" s="1"/>
  <c r="Z102" i="1" s="1"/>
  <c r="N102" i="1"/>
  <c r="U102" i="1" s="1"/>
  <c r="M102" i="1"/>
  <c r="L102" i="1"/>
  <c r="K102" i="1"/>
  <c r="J102" i="1"/>
  <c r="C102" i="1"/>
  <c r="Z101" i="1"/>
  <c r="U101" i="1"/>
  <c r="P101" i="1"/>
  <c r="O101" i="1"/>
  <c r="N101" i="1"/>
  <c r="T101" i="1" s="1"/>
  <c r="M101" i="1"/>
  <c r="L101" i="1"/>
  <c r="K101" i="1"/>
  <c r="J101" i="1"/>
  <c r="Q101" i="1" s="1"/>
  <c r="C101" i="1"/>
  <c r="P100" i="1"/>
  <c r="Z100" i="1" s="1"/>
  <c r="O100" i="1"/>
  <c r="J100" i="1"/>
  <c r="C100" i="1"/>
  <c r="X99" i="1"/>
  <c r="W99" i="1"/>
  <c r="O99" i="1"/>
  <c r="P99" i="1" s="1"/>
  <c r="Z99" i="1" s="1"/>
  <c r="J99" i="1"/>
  <c r="C99" i="1"/>
  <c r="O98" i="1"/>
  <c r="P98" i="1" s="1"/>
  <c r="Z98" i="1" s="1"/>
  <c r="J98" i="1"/>
  <c r="N98" i="1" s="1"/>
  <c r="C98" i="1"/>
  <c r="AA88" i="1"/>
  <c r="W88" i="1"/>
  <c r="O88" i="1"/>
  <c r="P88" i="1" s="1"/>
  <c r="Z88" i="1" s="1"/>
  <c r="M88" i="1"/>
  <c r="L88" i="1"/>
  <c r="I88" i="1"/>
  <c r="H88" i="1"/>
  <c r="G88" i="1"/>
  <c r="J88" i="1" s="1"/>
  <c r="Q88" i="1" s="1"/>
  <c r="F88" i="1"/>
  <c r="C88" i="1"/>
  <c r="AA87" i="1"/>
  <c r="I87" i="1" s="1"/>
  <c r="O87" i="1"/>
  <c r="P87" i="1" s="1"/>
  <c r="Z87" i="1" s="1"/>
  <c r="H87" i="1"/>
  <c r="G87" i="1"/>
  <c r="J87" i="1" s="1"/>
  <c r="F87" i="1"/>
  <c r="C87" i="1"/>
  <c r="AA86" i="1"/>
  <c r="Z86" i="1"/>
  <c r="W86" i="1"/>
  <c r="Q86" i="1"/>
  <c r="P86" i="1"/>
  <c r="O86" i="1"/>
  <c r="L86" i="1"/>
  <c r="J86" i="1"/>
  <c r="I86" i="1"/>
  <c r="H86" i="1"/>
  <c r="G86" i="1"/>
  <c r="F86" i="1"/>
  <c r="C86" i="1"/>
  <c r="AA85" i="1"/>
  <c r="I85" i="1" s="1"/>
  <c r="X85" i="1"/>
  <c r="W85" i="1"/>
  <c r="O85" i="1"/>
  <c r="P85" i="1" s="1"/>
  <c r="Z85" i="1" s="1"/>
  <c r="M85" i="1"/>
  <c r="L85" i="1"/>
  <c r="K85" i="1"/>
  <c r="H85" i="1"/>
  <c r="G85" i="1"/>
  <c r="J85" i="1" s="1"/>
  <c r="Q85" i="1" s="1"/>
  <c r="F85" i="1"/>
  <c r="C85" i="1"/>
  <c r="AB84" i="1"/>
  <c r="AA84" i="1"/>
  <c r="I84" i="1" s="1"/>
  <c r="X84" i="1"/>
  <c r="P84" i="1"/>
  <c r="Z84" i="1" s="1"/>
  <c r="O84" i="1"/>
  <c r="N84" i="1"/>
  <c r="U84" i="1" s="1"/>
  <c r="K84" i="1"/>
  <c r="J84" i="1"/>
  <c r="H84" i="1"/>
  <c r="G84" i="1"/>
  <c r="F84" i="1"/>
  <c r="C84" i="1"/>
  <c r="AA83" i="1"/>
  <c r="Z83" i="1"/>
  <c r="X83" i="1"/>
  <c r="P83" i="1"/>
  <c r="O83" i="1"/>
  <c r="J83" i="1"/>
  <c r="I83" i="1"/>
  <c r="H83" i="1"/>
  <c r="G83" i="1"/>
  <c r="F83" i="1"/>
  <c r="C83" i="1"/>
  <c r="AA82" i="1"/>
  <c r="Z82" i="1"/>
  <c r="O82" i="1"/>
  <c r="P82" i="1" s="1"/>
  <c r="N82" i="1"/>
  <c r="M82" i="1"/>
  <c r="L82" i="1"/>
  <c r="I82" i="1"/>
  <c r="H82" i="1"/>
  <c r="G82" i="1"/>
  <c r="J82" i="1" s="1"/>
  <c r="K82" i="1" s="1"/>
  <c r="F82" i="1"/>
  <c r="C82" i="1"/>
  <c r="AA81" i="1"/>
  <c r="I81" i="1" s="1"/>
  <c r="O81" i="1"/>
  <c r="P81" i="1" s="1"/>
  <c r="Z81" i="1" s="1"/>
  <c r="H81" i="1"/>
  <c r="G81" i="1"/>
  <c r="J81" i="1" s="1"/>
  <c r="F81" i="1"/>
  <c r="C81" i="1"/>
  <c r="AA80" i="1"/>
  <c r="I80" i="1" s="1"/>
  <c r="Z80" i="1"/>
  <c r="P80" i="1"/>
  <c r="O80" i="1"/>
  <c r="M80" i="1"/>
  <c r="J80" i="1"/>
  <c r="H80" i="1"/>
  <c r="G80" i="1"/>
  <c r="F80" i="1"/>
  <c r="C80" i="1"/>
  <c r="AA79" i="1"/>
  <c r="I79" i="1" s="1"/>
  <c r="X79" i="1"/>
  <c r="P79" i="1"/>
  <c r="Z79" i="1" s="1"/>
  <c r="O79" i="1"/>
  <c r="L79" i="1"/>
  <c r="J79" i="1"/>
  <c r="H79" i="1"/>
  <c r="G79" i="1"/>
  <c r="F79" i="1"/>
  <c r="C79" i="1"/>
  <c r="AA78" i="1"/>
  <c r="I78" i="1" s="1"/>
  <c r="Z78" i="1"/>
  <c r="O78" i="1"/>
  <c r="P78" i="1" s="1"/>
  <c r="M78" i="1"/>
  <c r="J78" i="1"/>
  <c r="H78" i="1"/>
  <c r="G78" i="1"/>
  <c r="F78" i="1"/>
  <c r="C78" i="1"/>
  <c r="AA77" i="1"/>
  <c r="V77" i="1"/>
  <c r="C77" i="1"/>
  <c r="AA76" i="1"/>
  <c r="I76" i="1" s="1"/>
  <c r="Z76" i="1"/>
  <c r="O76" i="1"/>
  <c r="P76" i="1" s="1"/>
  <c r="J76" i="1"/>
  <c r="L76" i="1" s="1"/>
  <c r="H76" i="1"/>
  <c r="G76" i="1"/>
  <c r="F76" i="1"/>
  <c r="C76" i="1"/>
  <c r="AA75" i="1"/>
  <c r="I75" i="1" s="1"/>
  <c r="Z75" i="1"/>
  <c r="P75" i="1"/>
  <c r="O75" i="1"/>
  <c r="K75" i="1"/>
  <c r="H75" i="1"/>
  <c r="G75" i="1"/>
  <c r="J75" i="1" s="1"/>
  <c r="F75" i="1"/>
  <c r="C75" i="1"/>
  <c r="AA74" i="1"/>
  <c r="I74" i="1" s="1"/>
  <c r="O74" i="1"/>
  <c r="P74" i="1" s="1"/>
  <c r="Z74" i="1" s="1"/>
  <c r="J74" i="1"/>
  <c r="H74" i="1"/>
  <c r="G74" i="1"/>
  <c r="F74" i="1"/>
  <c r="C74" i="1"/>
  <c r="AA73" i="1"/>
  <c r="V73" i="1"/>
  <c r="C73" i="1"/>
  <c r="AA72" i="1"/>
  <c r="O72" i="1"/>
  <c r="P72" i="1" s="1"/>
  <c r="Z72" i="1" s="1"/>
  <c r="I72" i="1"/>
  <c r="H72" i="1"/>
  <c r="G72" i="1"/>
  <c r="J72" i="1" s="1"/>
  <c r="F72" i="1"/>
  <c r="C72" i="1"/>
  <c r="AA71" i="1"/>
  <c r="V71" i="1"/>
  <c r="C71" i="1"/>
  <c r="AA70" i="1"/>
  <c r="Z70" i="1"/>
  <c r="O70" i="1"/>
  <c r="P70" i="1" s="1"/>
  <c r="I70" i="1"/>
  <c r="H70" i="1"/>
  <c r="G70" i="1"/>
  <c r="J70" i="1" s="1"/>
  <c r="W70" i="1" s="1"/>
  <c r="F70" i="1"/>
  <c r="C70" i="1"/>
  <c r="AA69" i="1"/>
  <c r="V69" i="1"/>
  <c r="C69" i="1"/>
  <c r="AA68" i="1"/>
  <c r="P68" i="1"/>
  <c r="Z68" i="1" s="1"/>
  <c r="O68" i="1"/>
  <c r="L68" i="1"/>
  <c r="J68" i="1"/>
  <c r="I68" i="1"/>
  <c r="H68" i="1"/>
  <c r="G68" i="1"/>
  <c r="F68" i="1"/>
  <c r="C68" i="1"/>
  <c r="AA67" i="1"/>
  <c r="V67" i="1"/>
  <c r="C67" i="1"/>
  <c r="AA66" i="1"/>
  <c r="I66" i="1" s="1"/>
  <c r="O66" i="1"/>
  <c r="P66" i="1" s="1"/>
  <c r="Z66" i="1" s="1"/>
  <c r="M66" i="1"/>
  <c r="J66" i="1"/>
  <c r="H66" i="1"/>
  <c r="G66" i="1"/>
  <c r="F66" i="1"/>
  <c r="C66" i="1"/>
  <c r="AA65" i="1"/>
  <c r="V65" i="1"/>
  <c r="C65" i="1"/>
  <c r="AA64" i="1"/>
  <c r="I64" i="1" s="1"/>
  <c r="W64" i="1"/>
  <c r="Q64" i="1"/>
  <c r="P64" i="1"/>
  <c r="Z64" i="1" s="1"/>
  <c r="AB64" i="1" s="1"/>
  <c r="O64" i="1"/>
  <c r="M64" i="1"/>
  <c r="L64" i="1"/>
  <c r="K64" i="1"/>
  <c r="H64" i="1"/>
  <c r="G64" i="1"/>
  <c r="J64" i="1" s="1"/>
  <c r="F64" i="1"/>
  <c r="C64" i="1"/>
  <c r="AA63" i="1"/>
  <c r="V63" i="1"/>
  <c r="C63" i="1"/>
  <c r="AA62" i="1"/>
  <c r="Z62" i="1"/>
  <c r="U62" i="1"/>
  <c r="T62" i="1"/>
  <c r="V62" i="1" s="1"/>
  <c r="Q62" i="1"/>
  <c r="P62" i="1"/>
  <c r="O62" i="1"/>
  <c r="N62" i="1"/>
  <c r="L62" i="1"/>
  <c r="J62" i="1"/>
  <c r="I62" i="1"/>
  <c r="H62" i="1"/>
  <c r="G62" i="1"/>
  <c r="F62" i="1"/>
  <c r="C62" i="1"/>
  <c r="AA61" i="1"/>
  <c r="I61" i="1" s="1"/>
  <c r="X61" i="1"/>
  <c r="P61" i="1"/>
  <c r="Z61" i="1" s="1"/>
  <c r="O61" i="1"/>
  <c r="M61" i="1"/>
  <c r="L61" i="1"/>
  <c r="K61" i="1"/>
  <c r="H61" i="1"/>
  <c r="G61" i="1"/>
  <c r="J61" i="1" s="1"/>
  <c r="F61" i="1"/>
  <c r="C61" i="1"/>
  <c r="AA60" i="1"/>
  <c r="Z60" i="1"/>
  <c r="Q60" i="1"/>
  <c r="O60" i="1"/>
  <c r="P60" i="1" s="1"/>
  <c r="N60" i="1"/>
  <c r="U60" i="1" s="1"/>
  <c r="L60" i="1"/>
  <c r="I60" i="1"/>
  <c r="H60" i="1"/>
  <c r="G60" i="1"/>
  <c r="J60" i="1" s="1"/>
  <c r="F60" i="1"/>
  <c r="C60" i="1"/>
  <c r="AA59" i="1"/>
  <c r="P59" i="1"/>
  <c r="Z59" i="1" s="1"/>
  <c r="O59" i="1"/>
  <c r="I59" i="1"/>
  <c r="H59" i="1"/>
  <c r="G59" i="1"/>
  <c r="J59" i="1" s="1"/>
  <c r="F59" i="1"/>
  <c r="C59" i="1"/>
  <c r="AA58" i="1"/>
  <c r="V58" i="1"/>
  <c r="C58" i="1"/>
  <c r="AA57" i="1"/>
  <c r="I57" i="1" s="1"/>
  <c r="Z57" i="1"/>
  <c r="X57" i="1"/>
  <c r="Q57" i="1"/>
  <c r="O57" i="1"/>
  <c r="P57" i="1" s="1"/>
  <c r="M57" i="1"/>
  <c r="L57" i="1"/>
  <c r="H57" i="1"/>
  <c r="G57" i="1"/>
  <c r="J57" i="1" s="1"/>
  <c r="N57" i="1" s="1"/>
  <c r="T57" i="1" s="1"/>
  <c r="V57" i="1" s="1"/>
  <c r="F57" i="1"/>
  <c r="C57" i="1"/>
  <c r="AA56" i="1"/>
  <c r="I56" i="1" s="1"/>
  <c r="P56" i="1"/>
  <c r="Z56" i="1" s="1"/>
  <c r="O56" i="1"/>
  <c r="J56" i="1"/>
  <c r="H56" i="1"/>
  <c r="G56" i="1"/>
  <c r="F56" i="1"/>
  <c r="C56" i="1"/>
  <c r="AA55" i="1"/>
  <c r="Z55" i="1"/>
  <c r="O55" i="1"/>
  <c r="P55" i="1" s="1"/>
  <c r="N55" i="1"/>
  <c r="U55" i="1" s="1"/>
  <c r="M55" i="1"/>
  <c r="J55" i="1"/>
  <c r="I55" i="1"/>
  <c r="H55" i="1"/>
  <c r="G55" i="1"/>
  <c r="F55" i="1"/>
  <c r="C55" i="1"/>
  <c r="AA54" i="1"/>
  <c r="V54" i="1"/>
  <c r="C54" i="1"/>
  <c r="AA53" i="1"/>
  <c r="I53" i="1" s="1"/>
  <c r="Q53" i="1"/>
  <c r="P53" i="1"/>
  <c r="Z53" i="1" s="1"/>
  <c r="O53" i="1"/>
  <c r="L53" i="1"/>
  <c r="K53" i="1"/>
  <c r="J53" i="1"/>
  <c r="X53" i="1" s="1"/>
  <c r="H53" i="1"/>
  <c r="G53" i="1"/>
  <c r="F53" i="1"/>
  <c r="C53" i="1"/>
  <c r="AA52" i="1"/>
  <c r="I52" i="1" s="1"/>
  <c r="X52" i="1"/>
  <c r="P52" i="1"/>
  <c r="Z52" i="1" s="1"/>
  <c r="O52" i="1"/>
  <c r="M52" i="1"/>
  <c r="J52" i="1"/>
  <c r="W52" i="1" s="1"/>
  <c r="H52" i="1"/>
  <c r="G52" i="1"/>
  <c r="F52" i="1"/>
  <c r="C52" i="1"/>
  <c r="AA51" i="1"/>
  <c r="Z51" i="1"/>
  <c r="O51" i="1"/>
  <c r="P51" i="1" s="1"/>
  <c r="M51" i="1"/>
  <c r="J51" i="1"/>
  <c r="I51" i="1"/>
  <c r="H51" i="1"/>
  <c r="G51" i="1"/>
  <c r="F51" i="1"/>
  <c r="C51" i="1"/>
  <c r="AA50" i="1"/>
  <c r="V50" i="1"/>
  <c r="C50" i="1"/>
  <c r="AA49" i="1"/>
  <c r="I49" i="1" s="1"/>
  <c r="W49" i="1"/>
  <c r="P49" i="1"/>
  <c r="Z49" i="1" s="1"/>
  <c r="O49" i="1"/>
  <c r="M49" i="1"/>
  <c r="L49" i="1"/>
  <c r="K49" i="1"/>
  <c r="J49" i="1"/>
  <c r="Q49" i="1" s="1"/>
  <c r="H49" i="1"/>
  <c r="G49" i="1"/>
  <c r="F49" i="1"/>
  <c r="C49" i="1"/>
  <c r="AA48" i="1"/>
  <c r="V48" i="1"/>
  <c r="C48" i="1"/>
  <c r="AA47" i="1"/>
  <c r="W47" i="1"/>
  <c r="Q47" i="1"/>
  <c r="P47" i="1"/>
  <c r="Z47" i="1" s="1"/>
  <c r="AB45" i="1" s="1"/>
  <c r="O47" i="1"/>
  <c r="N47" i="1"/>
  <c r="M47" i="1"/>
  <c r="K47" i="1"/>
  <c r="J47" i="1"/>
  <c r="I47" i="1"/>
  <c r="H47" i="1"/>
  <c r="G47" i="1"/>
  <c r="F47" i="1"/>
  <c r="C47" i="1"/>
  <c r="AA46" i="1"/>
  <c r="V46" i="1"/>
  <c r="C46" i="1"/>
  <c r="AA45" i="1"/>
  <c r="I45" i="1" s="1"/>
  <c r="X45" i="1"/>
  <c r="W45" i="1"/>
  <c r="Q45" i="1"/>
  <c r="P45" i="1"/>
  <c r="Z45" i="1" s="1"/>
  <c r="O45" i="1"/>
  <c r="N45" i="1"/>
  <c r="M45" i="1"/>
  <c r="K45" i="1"/>
  <c r="J45" i="1"/>
  <c r="L45" i="1" s="1"/>
  <c r="H45" i="1"/>
  <c r="G45" i="1"/>
  <c r="F45" i="1"/>
  <c r="C45" i="1"/>
  <c r="AA44" i="1"/>
  <c r="X44" i="1"/>
  <c r="O44" i="1"/>
  <c r="P44" i="1" s="1"/>
  <c r="Z44" i="1" s="1"/>
  <c r="N44" i="1"/>
  <c r="M44" i="1"/>
  <c r="L44" i="1"/>
  <c r="J44" i="1"/>
  <c r="K44" i="1" s="1"/>
  <c r="I44" i="1"/>
  <c r="H44" i="1"/>
  <c r="G44" i="1"/>
  <c r="F44" i="1"/>
  <c r="C44" i="1"/>
  <c r="AA43" i="1"/>
  <c r="X43" i="1"/>
  <c r="W43" i="1"/>
  <c r="Q43" i="1"/>
  <c r="P43" i="1"/>
  <c r="Z43" i="1" s="1"/>
  <c r="O43" i="1"/>
  <c r="N43" i="1"/>
  <c r="M43" i="1"/>
  <c r="L43" i="1"/>
  <c r="J43" i="1"/>
  <c r="K43" i="1" s="1"/>
  <c r="I43" i="1"/>
  <c r="H43" i="1"/>
  <c r="G43" i="1"/>
  <c r="F43" i="1"/>
  <c r="C43" i="1"/>
  <c r="AA42" i="1"/>
  <c r="V42" i="1"/>
  <c r="C42" i="1"/>
  <c r="AA41" i="1"/>
  <c r="I41" i="1" s="1"/>
  <c r="X41" i="1"/>
  <c r="W41" i="1"/>
  <c r="V41" i="1"/>
  <c r="Q41" i="1"/>
  <c r="P41" i="1"/>
  <c r="Z41" i="1" s="1"/>
  <c r="O41" i="1"/>
  <c r="N41" i="1"/>
  <c r="T41" i="1" s="1"/>
  <c r="M41" i="1"/>
  <c r="L41" i="1"/>
  <c r="K41" i="1"/>
  <c r="J41" i="1"/>
  <c r="H41" i="1"/>
  <c r="G41" i="1"/>
  <c r="F41" i="1"/>
  <c r="C41" i="1"/>
  <c r="AA40" i="1"/>
  <c r="V40" i="1"/>
  <c r="C40" i="1"/>
  <c r="AA39" i="1"/>
  <c r="W39" i="1"/>
  <c r="Q39" i="1"/>
  <c r="O39" i="1"/>
  <c r="P39" i="1" s="1"/>
  <c r="Z39" i="1" s="1"/>
  <c r="L39" i="1"/>
  <c r="K39" i="1"/>
  <c r="J39" i="1"/>
  <c r="I39" i="1"/>
  <c r="H39" i="1"/>
  <c r="G39" i="1"/>
  <c r="F39" i="1"/>
  <c r="C39" i="1"/>
  <c r="AA38" i="1"/>
  <c r="V38" i="1"/>
  <c r="C38" i="1"/>
  <c r="AA37" i="1"/>
  <c r="O37" i="1"/>
  <c r="P37" i="1" s="1"/>
  <c r="Z37" i="1" s="1"/>
  <c r="I37" i="1"/>
  <c r="H37" i="1"/>
  <c r="G37" i="1"/>
  <c r="J37" i="1" s="1"/>
  <c r="F37" i="1"/>
  <c r="C37" i="1"/>
  <c r="AA36" i="1"/>
  <c r="V36" i="1"/>
  <c r="C36" i="1"/>
  <c r="AA35" i="1"/>
  <c r="I35" i="1" s="1"/>
  <c r="Z35" i="1"/>
  <c r="X35" i="1"/>
  <c r="Q35" i="1"/>
  <c r="P35" i="1"/>
  <c r="O35" i="1"/>
  <c r="N35" i="1"/>
  <c r="L35" i="1"/>
  <c r="K35" i="1"/>
  <c r="H35" i="1"/>
  <c r="G35" i="1"/>
  <c r="J35" i="1" s="1"/>
  <c r="F35" i="1"/>
  <c r="C35" i="1"/>
  <c r="AA34" i="1"/>
  <c r="V34" i="1"/>
  <c r="C34" i="1"/>
  <c r="AA33" i="1"/>
  <c r="Z33" i="1"/>
  <c r="O33" i="1"/>
  <c r="P33" i="1" s="1"/>
  <c r="N33" i="1"/>
  <c r="U33" i="1" s="1"/>
  <c r="M33" i="1"/>
  <c r="J33" i="1"/>
  <c r="L33" i="1" s="1"/>
  <c r="I33" i="1"/>
  <c r="H33" i="1"/>
  <c r="G33" i="1"/>
  <c r="F33" i="1"/>
  <c r="C33" i="1"/>
  <c r="AA32" i="1"/>
  <c r="V32" i="1"/>
  <c r="C32" i="1"/>
  <c r="AA31" i="1"/>
  <c r="I31" i="1" s="1"/>
  <c r="O31" i="1"/>
  <c r="P31" i="1" s="1"/>
  <c r="Z31" i="1" s="1"/>
  <c r="H31" i="1"/>
  <c r="G31" i="1"/>
  <c r="J31" i="1" s="1"/>
  <c r="F31" i="1"/>
  <c r="C31" i="1"/>
  <c r="AA30" i="1"/>
  <c r="Z30" i="1"/>
  <c r="O30" i="1"/>
  <c r="P30" i="1" s="1"/>
  <c r="J30" i="1"/>
  <c r="Q30" i="1" s="1"/>
  <c r="I30" i="1"/>
  <c r="H30" i="1"/>
  <c r="G30" i="1"/>
  <c r="F30" i="1"/>
  <c r="C30" i="1"/>
  <c r="AA29" i="1"/>
  <c r="I29" i="1" s="1"/>
  <c r="X29" i="1"/>
  <c r="Q29" i="1"/>
  <c r="O29" i="1"/>
  <c r="P29" i="1" s="1"/>
  <c r="Z29" i="1" s="1"/>
  <c r="H29" i="1"/>
  <c r="G29" i="1"/>
  <c r="J29" i="1" s="1"/>
  <c r="L29" i="1" s="1"/>
  <c r="F29" i="1"/>
  <c r="C29" i="1"/>
  <c r="AA28" i="1"/>
  <c r="O28" i="1"/>
  <c r="P28" i="1" s="1"/>
  <c r="Z28" i="1" s="1"/>
  <c r="I28" i="1"/>
  <c r="H28" i="1"/>
  <c r="G28" i="1"/>
  <c r="J28" i="1" s="1"/>
  <c r="F28" i="1"/>
  <c r="C28" i="1"/>
  <c r="AA27" i="1"/>
  <c r="O27" i="1"/>
  <c r="P27" i="1" s="1"/>
  <c r="Z27" i="1" s="1"/>
  <c r="I27" i="1"/>
  <c r="H27" i="1"/>
  <c r="G27" i="1"/>
  <c r="J27" i="1" s="1"/>
  <c r="F27" i="1"/>
  <c r="C27" i="1"/>
  <c r="AA26" i="1"/>
  <c r="V26" i="1"/>
  <c r="C26" i="1"/>
  <c r="AA25" i="1"/>
  <c r="X25" i="1"/>
  <c r="P25" i="1"/>
  <c r="Z25" i="1" s="1"/>
  <c r="O25" i="1"/>
  <c r="K25" i="1"/>
  <c r="J25" i="1"/>
  <c r="I25" i="1"/>
  <c r="H25" i="1"/>
  <c r="G25" i="1"/>
  <c r="F25" i="1"/>
  <c r="C25" i="1"/>
  <c r="AA24" i="1"/>
  <c r="Z24" i="1"/>
  <c r="O24" i="1"/>
  <c r="P24" i="1" s="1"/>
  <c r="I24" i="1"/>
  <c r="H24" i="1"/>
  <c r="G24" i="1"/>
  <c r="J24" i="1" s="1"/>
  <c r="F24" i="1"/>
  <c r="C24" i="1"/>
  <c r="AA23" i="1"/>
  <c r="I23" i="1" s="1"/>
  <c r="P23" i="1"/>
  <c r="Z23" i="1" s="1"/>
  <c r="O23" i="1"/>
  <c r="N23" i="1"/>
  <c r="U23" i="1" s="1"/>
  <c r="J23" i="1"/>
  <c r="Q23" i="1" s="1"/>
  <c r="H23" i="1"/>
  <c r="G23" i="1"/>
  <c r="F23" i="1"/>
  <c r="C23" i="1"/>
  <c r="AA22" i="1"/>
  <c r="V22" i="1"/>
  <c r="C22" i="1"/>
  <c r="AA21" i="1"/>
  <c r="O21" i="1"/>
  <c r="P21" i="1" s="1"/>
  <c r="Z21" i="1" s="1"/>
  <c r="J21" i="1"/>
  <c r="M21" i="1" s="1"/>
  <c r="I21" i="1"/>
  <c r="H21" i="1"/>
  <c r="G21" i="1"/>
  <c r="F21" i="1"/>
  <c r="C21" i="1"/>
  <c r="AA20" i="1"/>
  <c r="O20" i="1"/>
  <c r="P20" i="1" s="1"/>
  <c r="Z20" i="1" s="1"/>
  <c r="J20" i="1"/>
  <c r="K20" i="1" s="1"/>
  <c r="I20" i="1"/>
  <c r="H20" i="1"/>
  <c r="G20" i="1"/>
  <c r="F20" i="1"/>
  <c r="C20" i="1"/>
  <c r="AA19" i="1"/>
  <c r="P19" i="1"/>
  <c r="Z19" i="1" s="1"/>
  <c r="O19" i="1"/>
  <c r="J19" i="1"/>
  <c r="I19" i="1"/>
  <c r="H19" i="1"/>
  <c r="G19" i="1"/>
  <c r="F19" i="1"/>
  <c r="C19" i="1"/>
  <c r="AA18" i="1"/>
  <c r="Z18" i="1"/>
  <c r="O18" i="1"/>
  <c r="P18" i="1" s="1"/>
  <c r="I18" i="1"/>
  <c r="H18" i="1"/>
  <c r="G18" i="1"/>
  <c r="J18" i="1" s="1"/>
  <c r="F18" i="1"/>
  <c r="C18" i="1"/>
  <c r="AA17" i="1"/>
  <c r="I17" i="1" s="1"/>
  <c r="O17" i="1"/>
  <c r="P17" i="1" s="1"/>
  <c r="Z17" i="1" s="1"/>
  <c r="H17" i="1"/>
  <c r="G17" i="1"/>
  <c r="J17" i="1" s="1"/>
  <c r="F17" i="1"/>
  <c r="C17" i="1"/>
  <c r="AA16" i="1"/>
  <c r="Z16" i="1"/>
  <c r="Q16" i="1"/>
  <c r="O16" i="1"/>
  <c r="P16" i="1" s="1"/>
  <c r="J16" i="1"/>
  <c r="N16" i="1" s="1"/>
  <c r="I16" i="1"/>
  <c r="H16" i="1"/>
  <c r="G16" i="1"/>
  <c r="F16" i="1"/>
  <c r="C16" i="1"/>
  <c r="AA15" i="1"/>
  <c r="I15" i="1" s="1"/>
  <c r="P15" i="1"/>
  <c r="Z15" i="1" s="1"/>
  <c r="O15" i="1"/>
  <c r="J15" i="1"/>
  <c r="L15" i="1" s="1"/>
  <c r="H15" i="1"/>
  <c r="G15" i="1"/>
  <c r="F15" i="1"/>
  <c r="C15" i="1"/>
  <c r="AA14" i="1"/>
  <c r="Z14" i="1"/>
  <c r="O14" i="1"/>
  <c r="P14" i="1" s="1"/>
  <c r="I14" i="1"/>
  <c r="H14" i="1"/>
  <c r="G14" i="1"/>
  <c r="J14" i="1" s="1"/>
  <c r="F14" i="1"/>
  <c r="C14" i="1"/>
  <c r="AA13" i="1"/>
  <c r="P13" i="1"/>
  <c r="Z13" i="1" s="1"/>
  <c r="O13" i="1"/>
  <c r="I13" i="1"/>
  <c r="H13" i="1"/>
  <c r="G13" i="1"/>
  <c r="J13" i="1" s="1"/>
  <c r="F13" i="1"/>
  <c r="C13" i="1"/>
  <c r="AA12" i="1"/>
  <c r="I12" i="1" s="1"/>
  <c r="O12" i="1"/>
  <c r="P12" i="1" s="1"/>
  <c r="Z12" i="1" s="1"/>
  <c r="AB12" i="1" s="1"/>
  <c r="J12" i="1"/>
  <c r="Q12" i="1" s="1"/>
  <c r="H12" i="1"/>
  <c r="G12" i="1"/>
  <c r="F12" i="1"/>
  <c r="C12" i="1"/>
  <c r="AA11" i="1"/>
  <c r="Z11" i="1"/>
  <c r="P11" i="1"/>
  <c r="O11" i="1"/>
  <c r="I11" i="1"/>
  <c r="H11" i="1"/>
  <c r="G11" i="1"/>
  <c r="J11" i="1" s="1"/>
  <c r="F11" i="1"/>
  <c r="C11" i="1"/>
  <c r="AA10" i="1"/>
  <c r="P10" i="1"/>
  <c r="Z10" i="1" s="1"/>
  <c r="O10" i="1"/>
  <c r="I10" i="1"/>
  <c r="H10" i="1"/>
  <c r="G10" i="1"/>
  <c r="J10" i="1" s="1"/>
  <c r="F10" i="1"/>
  <c r="C10" i="1"/>
  <c r="AA9" i="1"/>
  <c r="I9" i="1" s="1"/>
  <c r="P9" i="1"/>
  <c r="Z9" i="1" s="1"/>
  <c r="O9" i="1"/>
  <c r="J9" i="1"/>
  <c r="Q9" i="1" s="1"/>
  <c r="H9" i="1"/>
  <c r="G9" i="1"/>
  <c r="F9" i="1"/>
  <c r="C9" i="1"/>
  <c r="AA8" i="1"/>
  <c r="P8" i="1"/>
  <c r="Z8" i="1" s="1"/>
  <c r="O8" i="1"/>
  <c r="I8" i="1"/>
  <c r="H8" i="1"/>
  <c r="G8" i="1"/>
  <c r="J8" i="1" s="1"/>
  <c r="F8" i="1"/>
  <c r="C8" i="1"/>
  <c r="AA7" i="1"/>
  <c r="W7" i="1"/>
  <c r="O7" i="1"/>
  <c r="P7" i="1" s="1"/>
  <c r="Z7" i="1" s="1"/>
  <c r="L7" i="1"/>
  <c r="K7" i="1"/>
  <c r="I7" i="1"/>
  <c r="H7" i="1"/>
  <c r="G7" i="1"/>
  <c r="J7" i="1" s="1"/>
  <c r="Q7" i="1" s="1"/>
  <c r="F7" i="1"/>
  <c r="C7" i="1"/>
  <c r="AA6" i="1"/>
  <c r="Z6" i="1"/>
  <c r="P6" i="1"/>
  <c r="O6" i="1"/>
  <c r="I6" i="1"/>
  <c r="H6" i="1"/>
  <c r="G6" i="1"/>
  <c r="J6" i="1" s="1"/>
  <c r="F6" i="1"/>
  <c r="C6" i="1"/>
  <c r="AA5" i="1"/>
  <c r="I5" i="1" s="1"/>
  <c r="O5" i="1"/>
  <c r="P5" i="1" s="1"/>
  <c r="Z5" i="1" s="1"/>
  <c r="H5" i="1"/>
  <c r="G5" i="1"/>
  <c r="J5" i="1" s="1"/>
  <c r="F5" i="1"/>
  <c r="C5" i="1"/>
  <c r="AC1" i="1"/>
  <c r="Y1" i="1"/>
  <c r="Z1" i="1" s="1"/>
  <c r="R1" i="1"/>
  <c r="B14" i="3" l="1"/>
  <c r="B15" i="3"/>
  <c r="C14" i="3"/>
  <c r="D14" i="3" s="1"/>
  <c r="E14" i="3" s="1"/>
  <c r="C15" i="3"/>
  <c r="D15" i="3" s="1"/>
  <c r="X6" i="1"/>
  <c r="N6" i="1"/>
  <c r="Q6" i="1"/>
  <c r="W6" i="1"/>
  <c r="M6" i="1"/>
  <c r="K6" i="1"/>
  <c r="L6" i="1"/>
  <c r="AB27" i="1"/>
  <c r="U16" i="1"/>
  <c r="T16" i="1"/>
  <c r="V16" i="1" s="1"/>
  <c r="K5" i="1"/>
  <c r="N5" i="1"/>
  <c r="X5" i="1"/>
  <c r="M5" i="1"/>
  <c r="W5" i="1"/>
  <c r="Q5" i="1"/>
  <c r="L5" i="1"/>
  <c r="X8" i="1"/>
  <c r="N8" i="1"/>
  <c r="L8" i="1"/>
  <c r="M8" i="1"/>
  <c r="W8" i="1"/>
  <c r="K8" i="1"/>
  <c r="Q8" i="1"/>
  <c r="Q18" i="1"/>
  <c r="X18" i="1"/>
  <c r="W18" i="1"/>
  <c r="K18" i="1"/>
  <c r="M18" i="1"/>
  <c r="N18" i="1"/>
  <c r="L18" i="1"/>
  <c r="AB31" i="1"/>
  <c r="W27" i="1"/>
  <c r="M27" i="1"/>
  <c r="Q27" i="1"/>
  <c r="N27" i="1"/>
  <c r="L27" i="1"/>
  <c r="X27" i="1"/>
  <c r="K27" i="1"/>
  <c r="AB5" i="1"/>
  <c r="AC8" i="1" s="1"/>
  <c r="Q24" i="1"/>
  <c r="W24" i="1"/>
  <c r="K24" i="1"/>
  <c r="M24" i="1"/>
  <c r="N24" i="1"/>
  <c r="X24" i="1"/>
  <c r="L24" i="1"/>
  <c r="K10" i="1"/>
  <c r="M10" i="1"/>
  <c r="N10" i="1"/>
  <c r="X10" i="1"/>
  <c r="Q10" i="1"/>
  <c r="W10" i="1"/>
  <c r="L10" i="1"/>
  <c r="W11" i="1"/>
  <c r="M11" i="1"/>
  <c r="Q11" i="1"/>
  <c r="X11" i="1"/>
  <c r="N11" i="1"/>
  <c r="L11" i="1"/>
  <c r="K11" i="1"/>
  <c r="L13" i="1"/>
  <c r="N13" i="1"/>
  <c r="Q13" i="1"/>
  <c r="X13" i="1"/>
  <c r="M13" i="1"/>
  <c r="W13" i="1"/>
  <c r="K13" i="1"/>
  <c r="W14" i="1"/>
  <c r="L14" i="1"/>
  <c r="X14" i="1"/>
  <c r="K14" i="1"/>
  <c r="N14" i="1"/>
  <c r="M14" i="1"/>
  <c r="Q14" i="1"/>
  <c r="W37" i="1"/>
  <c r="M37" i="1"/>
  <c r="X37" i="1"/>
  <c r="L37" i="1"/>
  <c r="K37" i="1"/>
  <c r="Q37" i="1"/>
  <c r="N37" i="1"/>
  <c r="L17" i="1"/>
  <c r="X17" i="1"/>
  <c r="M17" i="1"/>
  <c r="W17" i="1"/>
  <c r="K17" i="1"/>
  <c r="Q17" i="1"/>
  <c r="N17" i="1"/>
  <c r="X28" i="1"/>
  <c r="M28" i="1"/>
  <c r="L28" i="1"/>
  <c r="W28" i="1"/>
  <c r="N28" i="1"/>
  <c r="K28" i="1"/>
  <c r="Q28" i="1"/>
  <c r="L31" i="1"/>
  <c r="N31" i="1"/>
  <c r="M31" i="1"/>
  <c r="X31" i="1"/>
  <c r="K31" i="1"/>
  <c r="W31" i="1"/>
  <c r="Q31" i="1"/>
  <c r="AB41" i="1"/>
  <c r="U43" i="1"/>
  <c r="T43" i="1"/>
  <c r="V43" i="1" s="1"/>
  <c r="L19" i="1"/>
  <c r="N19" i="1"/>
  <c r="W20" i="1"/>
  <c r="L25" i="1"/>
  <c r="N25" i="1"/>
  <c r="W25" i="1"/>
  <c r="W29" i="1"/>
  <c r="N72" i="1"/>
  <c r="M72" i="1"/>
  <c r="L72" i="1"/>
  <c r="K72" i="1"/>
  <c r="X72" i="1"/>
  <c r="W72" i="1"/>
  <c r="Q72" i="1"/>
  <c r="N59" i="1"/>
  <c r="K59" i="1"/>
  <c r="Q59" i="1"/>
  <c r="M59" i="1"/>
  <c r="L59" i="1"/>
  <c r="W59" i="1"/>
  <c r="L81" i="1"/>
  <c r="N81" i="1"/>
  <c r="X81" i="1"/>
  <c r="M81" i="1"/>
  <c r="Q81" i="1"/>
  <c r="K81" i="1"/>
  <c r="W81" i="1"/>
  <c r="K12" i="1"/>
  <c r="K15" i="1"/>
  <c r="M7" i="1"/>
  <c r="X7" i="1"/>
  <c r="M9" i="1"/>
  <c r="W9" i="1"/>
  <c r="M12" i="1"/>
  <c r="X12" i="1"/>
  <c r="N15" i="1"/>
  <c r="K16" i="1"/>
  <c r="M19" i="1"/>
  <c r="M20" i="1"/>
  <c r="K21" i="1"/>
  <c r="X21" i="1"/>
  <c r="M25" i="1"/>
  <c r="K29" i="1"/>
  <c r="K30" i="1"/>
  <c r="W30" i="1"/>
  <c r="Q33" i="1"/>
  <c r="U35" i="1"/>
  <c r="T35" i="1"/>
  <c r="V35" i="1" s="1"/>
  <c r="L56" i="1"/>
  <c r="N56" i="1"/>
  <c r="X56" i="1"/>
  <c r="M56" i="1"/>
  <c r="K56" i="1"/>
  <c r="W56" i="1"/>
  <c r="Q56" i="1"/>
  <c r="AB76" i="1"/>
  <c r="Q76" i="1"/>
  <c r="X76" i="1"/>
  <c r="M76" i="1"/>
  <c r="W76" i="1"/>
  <c r="N76" i="1"/>
  <c r="K76" i="1"/>
  <c r="L12" i="1"/>
  <c r="X15" i="1"/>
  <c r="K19" i="1"/>
  <c r="X20" i="1"/>
  <c r="N7" i="1"/>
  <c r="N9" i="1"/>
  <c r="X9" i="1"/>
  <c r="N12" i="1"/>
  <c r="L16" i="1"/>
  <c r="W16" i="1"/>
  <c r="N20" i="1"/>
  <c r="T23" i="1"/>
  <c r="V23" i="1" s="1"/>
  <c r="M29" i="1"/>
  <c r="L30" i="1"/>
  <c r="X30" i="1"/>
  <c r="T33" i="1"/>
  <c r="V33" i="1" s="1"/>
  <c r="X39" i="1"/>
  <c r="N39" i="1"/>
  <c r="AB59" i="1"/>
  <c r="Q70" i="1"/>
  <c r="X70" i="1"/>
  <c r="M70" i="1"/>
  <c r="N70" i="1"/>
  <c r="L70" i="1"/>
  <c r="K70" i="1"/>
  <c r="W75" i="1"/>
  <c r="M75" i="1"/>
  <c r="Q75" i="1"/>
  <c r="N75" i="1"/>
  <c r="L75" i="1"/>
  <c r="X75" i="1"/>
  <c r="U82" i="1"/>
  <c r="T82" i="1"/>
  <c r="V82" i="1" s="1"/>
  <c r="W19" i="1"/>
  <c r="W12" i="1"/>
  <c r="M15" i="1"/>
  <c r="L21" i="1"/>
  <c r="Q21" i="1"/>
  <c r="M16" i="1"/>
  <c r="X16" i="1"/>
  <c r="N21" i="1"/>
  <c r="N29" i="1"/>
  <c r="M30" i="1"/>
  <c r="U45" i="1"/>
  <c r="T45" i="1"/>
  <c r="V45" i="1" s="1"/>
  <c r="W51" i="1"/>
  <c r="L51" i="1"/>
  <c r="K51" i="1"/>
  <c r="Q51" i="1"/>
  <c r="X51" i="1"/>
  <c r="N51" i="1"/>
  <c r="W15" i="1"/>
  <c r="AB18" i="1"/>
  <c r="X19" i="1"/>
  <c r="W21" i="1"/>
  <c r="Q19" i="1"/>
  <c r="Q20" i="1"/>
  <c r="W33" i="1"/>
  <c r="X59" i="1"/>
  <c r="K83" i="1"/>
  <c r="W83" i="1"/>
  <c r="L83" i="1"/>
  <c r="Q83" i="1"/>
  <c r="M83" i="1"/>
  <c r="U44" i="1"/>
  <c r="T44" i="1"/>
  <c r="V44" i="1" s="1"/>
  <c r="K9" i="1"/>
  <c r="L9" i="1"/>
  <c r="L20" i="1"/>
  <c r="Q15" i="1"/>
  <c r="W23" i="1"/>
  <c r="M23" i="1"/>
  <c r="K23" i="1"/>
  <c r="X23" i="1"/>
  <c r="Q25" i="1"/>
  <c r="N30" i="1"/>
  <c r="L23" i="1"/>
  <c r="K33" i="1"/>
  <c r="X33" i="1"/>
  <c r="W35" i="1"/>
  <c r="M35" i="1"/>
  <c r="M39" i="1"/>
  <c r="U41" i="1"/>
  <c r="U47" i="1"/>
  <c r="N83" i="1"/>
  <c r="X66" i="1"/>
  <c r="N66" i="1"/>
  <c r="W66" i="1"/>
  <c r="L66" i="1"/>
  <c r="K66" i="1"/>
  <c r="Q66" i="1"/>
  <c r="X68" i="1"/>
  <c r="N68" i="1"/>
  <c r="K68" i="1"/>
  <c r="W68" i="1"/>
  <c r="Q78" i="1"/>
  <c r="W78" i="1"/>
  <c r="L78" i="1"/>
  <c r="K78" i="1"/>
  <c r="U98" i="1"/>
  <c r="C28" i="4"/>
  <c r="B29" i="4"/>
  <c r="T6" i="5"/>
  <c r="S6" i="5"/>
  <c r="Q44" i="1"/>
  <c r="T47" i="1"/>
  <c r="V47" i="1" s="1"/>
  <c r="T55" i="1"/>
  <c r="V55" i="1" s="1"/>
  <c r="M68" i="1"/>
  <c r="N78" i="1"/>
  <c r="Q80" i="1"/>
  <c r="W80" i="1"/>
  <c r="L80" i="1"/>
  <c r="X47" i="1"/>
  <c r="L47" i="1"/>
  <c r="Q61" i="1"/>
  <c r="N61" i="1"/>
  <c r="W61" i="1"/>
  <c r="W62" i="1"/>
  <c r="M62" i="1"/>
  <c r="K62" i="1"/>
  <c r="X62" i="1"/>
  <c r="X64" i="1"/>
  <c r="N64" i="1"/>
  <c r="K80" i="1"/>
  <c r="X80" i="1"/>
  <c r="Q82" i="1"/>
  <c r="T84" i="1"/>
  <c r="V84" i="1" s="1"/>
  <c r="Q74" i="1"/>
  <c r="X74" i="1"/>
  <c r="M74" i="1"/>
  <c r="W74" i="1"/>
  <c r="L74" i="1"/>
  <c r="AB80" i="1"/>
  <c r="N87" i="1"/>
  <c r="X87" i="1"/>
  <c r="M87" i="1"/>
  <c r="W87" i="1"/>
  <c r="L87" i="1"/>
  <c r="Q87" i="1"/>
  <c r="N99" i="1"/>
  <c r="M99" i="1"/>
  <c r="L99" i="1"/>
  <c r="W44" i="1"/>
  <c r="L52" i="1"/>
  <c r="Q52" i="1"/>
  <c r="N52" i="1"/>
  <c r="Q55" i="1"/>
  <c r="W55" i="1"/>
  <c r="L55" i="1"/>
  <c r="X55" i="1"/>
  <c r="T60" i="1"/>
  <c r="V60" i="1" s="1"/>
  <c r="Q68" i="1"/>
  <c r="K74" i="1"/>
  <c r="W79" i="1"/>
  <c r="M79" i="1"/>
  <c r="Q79" i="1"/>
  <c r="N79" i="1"/>
  <c r="N80" i="1"/>
  <c r="W82" i="1"/>
  <c r="X88" i="1"/>
  <c r="N88" i="1"/>
  <c r="K88" i="1"/>
  <c r="K99" i="1"/>
  <c r="K52" i="1"/>
  <c r="K55" i="1"/>
  <c r="W57" i="1"/>
  <c r="K57" i="1"/>
  <c r="W60" i="1"/>
  <c r="M60" i="1"/>
  <c r="K60" i="1"/>
  <c r="X60" i="1"/>
  <c r="N74" i="1"/>
  <c r="X78" i="1"/>
  <c r="K79" i="1"/>
  <c r="X82" i="1"/>
  <c r="W84" i="1"/>
  <c r="M84" i="1"/>
  <c r="L84" i="1"/>
  <c r="Q84" i="1"/>
  <c r="K87" i="1"/>
  <c r="AB101" i="1"/>
  <c r="X86" i="1"/>
  <c r="N86" i="1"/>
  <c r="T98" i="1"/>
  <c r="T20" i="5"/>
  <c r="S20" i="5"/>
  <c r="N49" i="1"/>
  <c r="X49" i="1"/>
  <c r="N85" i="1"/>
  <c r="K86" i="1"/>
  <c r="U103" i="1"/>
  <c r="M28" i="4"/>
  <c r="M29" i="4" s="1"/>
  <c r="M30" i="4" s="1"/>
  <c r="T26" i="5"/>
  <c r="S26" i="5"/>
  <c r="W98" i="1"/>
  <c r="X100" i="1"/>
  <c r="L100" i="1"/>
  <c r="W100" i="1"/>
  <c r="T32" i="5"/>
  <c r="S32" i="5"/>
  <c r="M86" i="1"/>
  <c r="K98" i="1"/>
  <c r="X98" i="1"/>
  <c r="K100" i="1"/>
  <c r="G15" i="4"/>
  <c r="T71" i="5"/>
  <c r="S71" i="5"/>
  <c r="T88" i="5"/>
  <c r="S88" i="5"/>
  <c r="M53" i="1"/>
  <c r="W53" i="1"/>
  <c r="L98" i="1"/>
  <c r="M100" i="1"/>
  <c r="U104" i="1"/>
  <c r="T104" i="1"/>
  <c r="S22" i="5"/>
  <c r="T58" i="5"/>
  <c r="S58" i="5"/>
  <c r="T80" i="5"/>
  <c r="S80" i="5"/>
  <c r="N53" i="1"/>
  <c r="M98" i="1"/>
  <c r="N100" i="1"/>
  <c r="N43" i="4"/>
  <c r="O42" i="4"/>
  <c r="L105" i="1"/>
  <c r="Q104" i="1"/>
  <c r="N105" i="1"/>
  <c r="S9" i="5"/>
  <c r="S38" i="5"/>
  <c r="S62" i="5"/>
  <c r="S83" i="5"/>
  <c r="T102" i="1"/>
  <c r="K104" i="1"/>
  <c r="S15" i="5"/>
  <c r="S24" i="5"/>
  <c r="S30" i="5"/>
  <c r="S56" i="5"/>
  <c r="S67" i="5"/>
  <c r="S77" i="5"/>
  <c r="S86" i="5"/>
  <c r="L104" i="1"/>
  <c r="S34" i="5"/>
  <c r="E15" i="3" l="1"/>
  <c r="L24" i="3"/>
  <c r="N24" i="3" s="1"/>
  <c r="T87" i="1"/>
  <c r="V87" i="1" s="1"/>
  <c r="U87" i="1"/>
  <c r="T85" i="1"/>
  <c r="V85" i="1" s="1"/>
  <c r="U85" i="1"/>
  <c r="U83" i="1"/>
  <c r="T83" i="1"/>
  <c r="V83" i="1" s="1"/>
  <c r="T7" i="1"/>
  <c r="V7" i="1" s="1"/>
  <c r="U7" i="1"/>
  <c r="T13" i="1"/>
  <c r="V13" i="1" s="1"/>
  <c r="U13" i="1"/>
  <c r="T105" i="1"/>
  <c r="U105" i="1"/>
  <c r="T74" i="1"/>
  <c r="V74" i="1" s="1"/>
  <c r="U74" i="1"/>
  <c r="T99" i="1"/>
  <c r="U99" i="1"/>
  <c r="U61" i="1"/>
  <c r="T61" i="1"/>
  <c r="V61" i="1" s="1"/>
  <c r="T30" i="1"/>
  <c r="V30" i="1" s="1"/>
  <c r="U30" i="1"/>
  <c r="T56" i="1"/>
  <c r="V56" i="1" s="1"/>
  <c r="U56" i="1"/>
  <c r="T28" i="1"/>
  <c r="V28" i="1" s="1"/>
  <c r="U28" i="1"/>
  <c r="U18" i="1"/>
  <c r="T18" i="1"/>
  <c r="V18" i="1" s="1"/>
  <c r="AC36" i="1"/>
  <c r="AC70" i="1" s="1"/>
  <c r="AG8" i="1" s="1"/>
  <c r="AH8" i="1" s="1"/>
  <c r="T79" i="1"/>
  <c r="V79" i="1" s="1"/>
  <c r="U79" i="1"/>
  <c r="U68" i="1"/>
  <c r="T68" i="1"/>
  <c r="V68" i="1" s="1"/>
  <c r="U75" i="1"/>
  <c r="T75" i="1"/>
  <c r="V75" i="1" s="1"/>
  <c r="W119" i="1"/>
  <c r="W120" i="1" s="1"/>
  <c r="T49" i="1"/>
  <c r="V49" i="1" s="1"/>
  <c r="U49" i="1"/>
  <c r="U64" i="1"/>
  <c r="T64" i="1"/>
  <c r="V64" i="1" s="1"/>
  <c r="U51" i="1"/>
  <c r="T51" i="1"/>
  <c r="V51" i="1" s="1"/>
  <c r="T20" i="1"/>
  <c r="V20" i="1" s="1"/>
  <c r="U20" i="1"/>
  <c r="T19" i="1"/>
  <c r="V19" i="1" s="1"/>
  <c r="U19" i="1"/>
  <c r="U24" i="1"/>
  <c r="T24" i="1"/>
  <c r="V24" i="1" s="1"/>
  <c r="X119" i="1"/>
  <c r="X120" i="1" s="1"/>
  <c r="T15" i="1"/>
  <c r="V15" i="1" s="1"/>
  <c r="U15" i="1"/>
  <c r="T25" i="1"/>
  <c r="V25" i="1" s="1"/>
  <c r="U25" i="1"/>
  <c r="T53" i="1"/>
  <c r="V53" i="1" s="1"/>
  <c r="U53" i="1"/>
  <c r="G16" i="4"/>
  <c r="G19" i="4" s="1"/>
  <c r="G20" i="4" s="1"/>
  <c r="G21" i="4" s="1"/>
  <c r="T52" i="1"/>
  <c r="V52" i="1" s="1"/>
  <c r="U52" i="1"/>
  <c r="U29" i="1"/>
  <c r="T29" i="1"/>
  <c r="V29" i="1" s="1"/>
  <c r="T39" i="1"/>
  <c r="V39" i="1" s="1"/>
  <c r="U39" i="1"/>
  <c r="U72" i="1"/>
  <c r="T72" i="1"/>
  <c r="V72" i="1" s="1"/>
  <c r="T27" i="1"/>
  <c r="V27" i="1" s="1"/>
  <c r="U27" i="1"/>
  <c r="U5" i="1"/>
  <c r="T5" i="1"/>
  <c r="V5" i="1" s="1"/>
  <c r="T80" i="1"/>
  <c r="V80" i="1" s="1"/>
  <c r="U80" i="1"/>
  <c r="B30" i="4"/>
  <c r="C30" i="4" s="1"/>
  <c r="C29" i="4"/>
  <c r="U88" i="1"/>
  <c r="T88" i="1"/>
  <c r="V88" i="1" s="1"/>
  <c r="U21" i="1"/>
  <c r="T21" i="1"/>
  <c r="V21" i="1" s="1"/>
  <c r="T59" i="1"/>
  <c r="V59" i="1" s="1"/>
  <c r="U59" i="1"/>
  <c r="U11" i="1"/>
  <c r="T11" i="1"/>
  <c r="V11" i="1" s="1"/>
  <c r="T8" i="1"/>
  <c r="V8" i="1" s="1"/>
  <c r="U8" i="1"/>
  <c r="K117" i="1"/>
  <c r="K118" i="1" s="1"/>
  <c r="L119" i="1" s="1"/>
  <c r="U78" i="1"/>
  <c r="T78" i="1"/>
  <c r="V78" i="1" s="1"/>
  <c r="AC23" i="1"/>
  <c r="N44" i="4"/>
  <c r="O43" i="4"/>
  <c r="T12" i="1"/>
  <c r="V12" i="1" s="1"/>
  <c r="U12" i="1"/>
  <c r="T81" i="1"/>
  <c r="V81" i="1" s="1"/>
  <c r="U81" i="1"/>
  <c r="U31" i="1"/>
  <c r="T31" i="1"/>
  <c r="V31" i="1" s="1"/>
  <c r="T37" i="1"/>
  <c r="V37" i="1" s="1"/>
  <c r="U37" i="1"/>
  <c r="U10" i="1"/>
  <c r="T10" i="1"/>
  <c r="V10" i="1" s="1"/>
  <c r="U6" i="1"/>
  <c r="T6" i="1"/>
  <c r="V6" i="1" s="1"/>
  <c r="U9" i="1"/>
  <c r="T9" i="1"/>
  <c r="V9" i="1" s="1"/>
  <c r="U100" i="1"/>
  <c r="T100" i="1"/>
  <c r="U86" i="1"/>
  <c r="T86" i="1"/>
  <c r="V86" i="1" s="1"/>
  <c r="U66" i="1"/>
  <c r="T66" i="1"/>
  <c r="V66" i="1" s="1"/>
  <c r="T70" i="1"/>
  <c r="V70" i="1" s="1"/>
  <c r="U70" i="1"/>
  <c r="T76" i="1"/>
  <c r="V76" i="1" s="1"/>
  <c r="U76" i="1"/>
  <c r="U17" i="1"/>
  <c r="T17" i="1"/>
  <c r="V17" i="1" s="1"/>
  <c r="U14" i="1"/>
  <c r="T14" i="1"/>
  <c r="V14" i="1" s="1"/>
  <c r="L25" i="3" l="1"/>
  <c r="N25" i="3" s="1"/>
  <c r="L26" i="3"/>
  <c r="M26" i="3" s="1"/>
  <c r="F15" i="3"/>
  <c r="H15" i="3"/>
  <c r="I15" i="3" s="1"/>
  <c r="O44" i="4"/>
  <c r="N45" i="4"/>
  <c r="O45" i="4" s="1"/>
  <c r="AC52" i="1"/>
  <c r="AC82" i="1" s="1"/>
  <c r="N26" i="3" l="1"/>
  <c r="M27" i="3"/>
  <c r="N27" i="3" s="1"/>
  <c r="AG10" i="1"/>
  <c r="AH10" i="1" s="1"/>
  <c r="M28" i="3" l="1"/>
  <c r="N28" i="3" l="1"/>
  <c r="M29" i="3"/>
  <c r="N29" i="3" l="1"/>
  <c r="M30" i="3"/>
  <c r="N30" i="3" l="1"/>
  <c r="M31" i="3"/>
  <c r="N31" i="3" s="1"/>
</calcChain>
</file>

<file path=xl/sharedStrings.xml><?xml version="1.0" encoding="utf-8"?>
<sst xmlns="http://schemas.openxmlformats.org/spreadsheetml/2006/main" count="1222" uniqueCount="550">
  <si>
    <t xml:space="preserve">Cuadro comparativo Equipos </t>
  </si>
  <si>
    <t>Nomenclatura</t>
  </si>
  <si>
    <t>Piso</t>
  </si>
  <si>
    <t>Recinto</t>
  </si>
  <si>
    <t>Pot. Térmica Enfriamiento</t>
  </si>
  <si>
    <t>Pot. Térmica Calefaccion</t>
  </si>
  <si>
    <t>Pot. Térmica Enfriamiento Sensible</t>
  </si>
  <si>
    <t>Caudal inyeccion (mch)</t>
  </si>
  <si>
    <t>Caudal Aire exterior (l/s)</t>
  </si>
  <si>
    <t>Caudal Aire exterior (mch)</t>
  </si>
  <si>
    <t xml:space="preserve">Alimentación Elec. </t>
  </si>
  <si>
    <t>Tipo</t>
  </si>
  <si>
    <t>Ducto</t>
  </si>
  <si>
    <t>Selección Kw</t>
  </si>
  <si>
    <t>Caudal Agua  Frio (l/m)</t>
  </si>
  <si>
    <t>Caudal Agua  Heat  (l/m)</t>
  </si>
  <si>
    <t>Pot elect (w)</t>
  </si>
  <si>
    <t>Modelo Seleccionado</t>
  </si>
  <si>
    <t>220/1/50</t>
  </si>
  <si>
    <t>Pot. Elec. 
(w)</t>
  </si>
  <si>
    <t>Disusores</t>
  </si>
  <si>
    <t>Caudal X Difusor</t>
  </si>
  <si>
    <t>Caudal Retono</t>
  </si>
  <si>
    <t>TAG</t>
  </si>
  <si>
    <t>PRESION (Pa)</t>
  </si>
  <si>
    <t>PESO (Kg)</t>
  </si>
  <si>
    <t>ALIMENTACION ELEC.</t>
  </si>
  <si>
    <t>MODELO REF</t>
  </si>
  <si>
    <t>MARCA REF</t>
  </si>
  <si>
    <t>ACCESORIOS</t>
  </si>
  <si>
    <t>-</t>
  </si>
  <si>
    <t>VEX-01</t>
  </si>
  <si>
    <t>POTENCIA ELECTRICA (KW)</t>
  </si>
  <si>
    <t>Unidad</t>
  </si>
  <si>
    <t>Pot. Frio (kW)</t>
  </si>
  <si>
    <t>Caudal Agua (mch)</t>
  </si>
  <si>
    <t>DP (mca)</t>
  </si>
  <si>
    <t>Caract. Eléctricas</t>
  </si>
  <si>
    <t>Marca Ref.</t>
  </si>
  <si>
    <t>Ubicación</t>
  </si>
  <si>
    <t>CH-01</t>
  </si>
  <si>
    <t>Exterior</t>
  </si>
  <si>
    <t>3F/380V/50Hz</t>
  </si>
  <si>
    <t>CH-02</t>
  </si>
  <si>
    <t>DAB</t>
  </si>
  <si>
    <t>Bomba centrifuga</t>
  </si>
  <si>
    <t>VEX-03</t>
  </si>
  <si>
    <t>VEX-04</t>
  </si>
  <si>
    <t>220/1/51</t>
  </si>
  <si>
    <t>220/1/52</t>
  </si>
  <si>
    <t>220/1/53</t>
  </si>
  <si>
    <t>220/1/57</t>
  </si>
  <si>
    <t>220/1/58</t>
  </si>
  <si>
    <t>220/1/60</t>
  </si>
  <si>
    <t>220/1/64</t>
  </si>
  <si>
    <t>220/1/65</t>
  </si>
  <si>
    <t>220/1/68</t>
  </si>
  <si>
    <t>220/1/69</t>
  </si>
  <si>
    <t>220/1/70</t>
  </si>
  <si>
    <t>220/1/76</t>
  </si>
  <si>
    <t xml:space="preserve">e </t>
  </si>
  <si>
    <t>S&amp;P</t>
  </si>
  <si>
    <t>MODELO</t>
  </si>
  <si>
    <t xml:space="preserve">Chillers </t>
  </si>
  <si>
    <t>P. absorbida (KW)</t>
  </si>
  <si>
    <t>Pesos (Kg)</t>
  </si>
  <si>
    <t xml:space="preserve">CUADRO DE EQUIPOS - CHILLER Y BOMBAS </t>
  </si>
  <si>
    <t>Perdida de Carga</t>
  </si>
  <si>
    <t>Mbar/m</t>
  </si>
  <si>
    <t>mca/m</t>
  </si>
  <si>
    <t>Largo</t>
  </si>
  <si>
    <t>Total</t>
  </si>
  <si>
    <t>Fitting</t>
  </si>
  <si>
    <t>Chiller</t>
  </si>
  <si>
    <t>Fancoils</t>
  </si>
  <si>
    <t>Final</t>
  </si>
  <si>
    <t>FS</t>
  </si>
  <si>
    <t>Selección</t>
  </si>
  <si>
    <t>Zone Name / Space Name</t>
  </si>
  <si>
    <t>Equipo</t>
  </si>
  <si>
    <t>Consumo Max</t>
  </si>
  <si>
    <t>Peso UI</t>
  </si>
  <si>
    <t>Mbtu/hr</t>
  </si>
  <si>
    <t>Kw</t>
  </si>
  <si>
    <t>Kg</t>
  </si>
  <si>
    <t>Refrigeracion</t>
  </si>
  <si>
    <t xml:space="preserve">SALA DE BASURA </t>
  </si>
  <si>
    <t>TRANE</t>
  </si>
  <si>
    <t>MCH</t>
  </si>
  <si>
    <t>MCM</t>
  </si>
  <si>
    <t>UMA-01</t>
  </si>
  <si>
    <t>UMA-02</t>
  </si>
  <si>
    <t>L/s</t>
  </si>
  <si>
    <t>1° PISO</t>
  </si>
  <si>
    <t>PENDIENTES</t>
  </si>
  <si>
    <t xml:space="preserve">SB </t>
  </si>
  <si>
    <t>KIT</t>
  </si>
  <si>
    <t>2° PISO</t>
  </si>
  <si>
    <t>3° PISO</t>
  </si>
  <si>
    <t>4° PISO</t>
  </si>
  <si>
    <t>40x30</t>
  </si>
  <si>
    <t>Dp Pa/m</t>
  </si>
  <si>
    <t>Dimensiones</t>
  </si>
  <si>
    <t>50x45</t>
  </si>
  <si>
    <t>kit</t>
  </si>
  <si>
    <t>shaft 1</t>
  </si>
  <si>
    <t>shaft 2</t>
  </si>
  <si>
    <t>shaft 3</t>
  </si>
  <si>
    <t>kit*2</t>
  </si>
  <si>
    <t>50x60</t>
  </si>
  <si>
    <t>70x50</t>
  </si>
  <si>
    <t>20x15</t>
  </si>
  <si>
    <t>SB</t>
  </si>
  <si>
    <t>30x30</t>
  </si>
  <si>
    <t>25x20</t>
  </si>
  <si>
    <t>30x50</t>
  </si>
  <si>
    <t>40x75</t>
  </si>
  <si>
    <t>40x60</t>
  </si>
  <si>
    <t>20x10</t>
  </si>
  <si>
    <t>20x20</t>
  </si>
  <si>
    <t>25x25</t>
  </si>
  <si>
    <t>15x10</t>
  </si>
  <si>
    <t>15x15</t>
  </si>
  <si>
    <t>30x20</t>
  </si>
  <si>
    <t>BC1-01</t>
  </si>
  <si>
    <t>BC1-02</t>
  </si>
  <si>
    <t>BC1-03</t>
  </si>
  <si>
    <t>BC1-04</t>
  </si>
  <si>
    <t>BC1-05</t>
  </si>
  <si>
    <t>BC1-06</t>
  </si>
  <si>
    <t>BC2-01</t>
  </si>
  <si>
    <t>BC2-02</t>
  </si>
  <si>
    <t>BC2-03</t>
  </si>
  <si>
    <t>BC2-04</t>
  </si>
  <si>
    <t>Caudal Agua  Heat  
(mch)</t>
  </si>
  <si>
    <t>Caudal Agua  Caliente (l/m)</t>
  </si>
  <si>
    <t>Temperatura Surtidor 7ºC; diferencial de temperatura 5ºC / Bombas con variador de frecuencia en circuito secundario</t>
  </si>
  <si>
    <t>DESCONECTADOR ELECTRICO</t>
  </si>
  <si>
    <t xml:space="preserve"> </t>
  </si>
  <si>
    <t>Sens</t>
  </si>
  <si>
    <t>Coil</t>
  </si>
  <si>
    <t>Water</t>
  </si>
  <si>
    <t>Time</t>
  </si>
  <si>
    <t>Entering</t>
  </si>
  <si>
    <t>Leaving</t>
  </si>
  <si>
    <t>Flow</t>
  </si>
  <si>
    <t>of</t>
  </si>
  <si>
    <t>Load</t>
  </si>
  <si>
    <t>DB / WB</t>
  </si>
  <si>
    <t>@ 5,6 K</t>
  </si>
  <si>
    <t>Peak Coil</t>
  </si>
  <si>
    <t>Zone</t>
  </si>
  <si>
    <t>Zone Name</t>
  </si>
  <si>
    <t>(kW)</t>
  </si>
  <si>
    <t>(°C)</t>
  </si>
  <si>
    <t>(L/s)</t>
  </si>
  <si>
    <t>L/(s·m²)</t>
  </si>
  <si>
    <t>Zone 1</t>
  </si>
  <si>
    <t>14,9 / 14,3</t>
  </si>
  <si>
    <t>Dec 1800</t>
  </si>
  <si>
    <t>Heating</t>
  </si>
  <si>
    <t>Htg Coil</t>
  </si>
  <si>
    <t>Fan</t>
  </si>
  <si>
    <t>OA Vent</t>
  </si>
  <si>
    <t>Ent/Lvg</t>
  </si>
  <si>
    <t>Design</t>
  </si>
  <si>
    <t>DB</t>
  </si>
  <si>
    <t>@11,1 K</t>
  </si>
  <si>
    <t>Airflow</t>
  </si>
  <si>
    <t>Motor</t>
  </si>
  <si>
    <t>(BHP)</t>
  </si>
  <si>
    <t>15,3 / 14,7</t>
  </si>
  <si>
    <t>24,3 / 17,9</t>
  </si>
  <si>
    <t>15,0 / 14,4</t>
  </si>
  <si>
    <t>24,3 / 18,2</t>
  </si>
  <si>
    <t>Feb 1600</t>
  </si>
  <si>
    <t>14,4 / 13,9</t>
  </si>
  <si>
    <t>Jan 1500</t>
  </si>
  <si>
    <t xml:space="preserve">1P 07 JEFE SOME         </t>
  </si>
  <si>
    <t xml:space="preserve">1P 04 ESTAR SAPU        </t>
  </si>
  <si>
    <t xml:space="preserve">1P 02 SALA ERA          </t>
  </si>
  <si>
    <t xml:space="preserve">1P 01 SALA IRA          </t>
  </si>
  <si>
    <t>1P 03 SALA TOMA DE MUEST</t>
  </si>
  <si>
    <t xml:space="preserve">1P 08 BOX VACUNATIO     </t>
  </si>
  <si>
    <t>Dec 0900</t>
  </si>
  <si>
    <t>23,6 / 17,4</t>
  </si>
  <si>
    <t>14,6 / 14,0</t>
  </si>
  <si>
    <t>Feb 1400</t>
  </si>
  <si>
    <t xml:space="preserve">1P 13 SALA DE ACOGIDA   </t>
  </si>
  <si>
    <t>Mar 1600</t>
  </si>
  <si>
    <t xml:space="preserve">1P 14 SALA DE ESPERA    </t>
  </si>
  <si>
    <t>1P 14 SALA DE ESPERA</t>
  </si>
  <si>
    <t>14,8 / 14,2</t>
  </si>
  <si>
    <t xml:space="preserve">1P 16 DESPACHO FARMACIA </t>
  </si>
  <si>
    <t xml:space="preserve">1P 19 ESPERA PNAC FARMA </t>
  </si>
  <si>
    <t xml:space="preserve">1P 18 BOX QUIM FARM     </t>
  </si>
  <si>
    <t>24,4 / 17,7</t>
  </si>
  <si>
    <t>Mar 1500</t>
  </si>
  <si>
    <t xml:space="preserve">1P 20 SALA MULTIUSO     </t>
  </si>
  <si>
    <t>1P 23 TRABAJO CLIN GRUPA</t>
  </si>
  <si>
    <t>14,9 / 14,4</t>
  </si>
  <si>
    <t>Jan 1600</t>
  </si>
  <si>
    <t>14,4 / 13,8</t>
  </si>
  <si>
    <t>Feb 1200</t>
  </si>
  <si>
    <t>1P 24 SALA REHABILITACIO</t>
  </si>
  <si>
    <t>23,8 / 17,6</t>
  </si>
  <si>
    <t xml:space="preserve">1P 26 PODOLOGIA         </t>
  </si>
  <si>
    <t xml:space="preserve">1P 27 ECOGRAFIA         </t>
  </si>
  <si>
    <t>24,2 / 17,7</t>
  </si>
  <si>
    <t>Dec 1000</t>
  </si>
  <si>
    <t>Dec 1700</t>
  </si>
  <si>
    <t>24,5 / 17,9</t>
  </si>
  <si>
    <t>24,4 / 17,9</t>
  </si>
  <si>
    <t xml:space="preserve">2P 51 SALA DE ESPERA    </t>
  </si>
  <si>
    <t xml:space="preserve">2P 54 BOX GINECOLOGICO  </t>
  </si>
  <si>
    <t>14,7 / 14,1</t>
  </si>
  <si>
    <t>Mar 1100</t>
  </si>
  <si>
    <t xml:space="preserve">2P 58 BOX CLINICO       </t>
  </si>
  <si>
    <t xml:space="preserve">2P 59 ESTERILIZACION    </t>
  </si>
  <si>
    <t xml:space="preserve">2P 60 BOX PSICOLOGO     </t>
  </si>
  <si>
    <t>19,5 / 22,2</t>
  </si>
  <si>
    <t xml:space="preserve">3P 73 SALA DE ESPERA    </t>
  </si>
  <si>
    <t>24,3 / 18,1</t>
  </si>
  <si>
    <t>15,1 / 14,5</t>
  </si>
  <si>
    <t xml:space="preserve">3P 76 BOX PSICOLOGO     </t>
  </si>
  <si>
    <t>24,6 / 17,9</t>
  </si>
  <si>
    <t xml:space="preserve">3P 78 CAFETERIA         </t>
  </si>
  <si>
    <t>Mar 1200</t>
  </si>
  <si>
    <t xml:space="preserve">3P 79 SALA LAC FUNC     </t>
  </si>
  <si>
    <t>3P 80 OFICINA TEC SIGGES</t>
  </si>
  <si>
    <t>14,8 / 14,1</t>
  </si>
  <si>
    <t>24,2 / 18,0</t>
  </si>
  <si>
    <t xml:space="preserve">3P 86 SUBDIRECTOR ADM   </t>
  </si>
  <si>
    <t>24,3 / 17,7</t>
  </si>
  <si>
    <t xml:space="preserve">3P 87 OF DIRECTOR       </t>
  </si>
  <si>
    <t>Supply</t>
  </si>
  <si>
    <t>Minimum</t>
  </si>
  <si>
    <t>Reheat</t>
  </si>
  <si>
    <t>@ 11,1 K</t>
  </si>
  <si>
    <t>Htg Unit</t>
  </si>
  <si>
    <t>Mixing</t>
  </si>
  <si>
    <t>Box Fan</t>
  </si>
  <si>
    <t>Cooling</t>
  </si>
  <si>
    <t>Time of</t>
  </si>
  <si>
    <t>Floor</t>
  </si>
  <si>
    <t>Sensible</t>
  </si>
  <si>
    <t>Peak Sensible</t>
  </si>
  <si>
    <t>Area</t>
  </si>
  <si>
    <t>Cooling Load</t>
  </si>
  <si>
    <t>(m²)</t>
  </si>
  <si>
    <t>Jan 1900</t>
  </si>
  <si>
    <t>1P 06 BODEGA FARMACOS SA</t>
  </si>
  <si>
    <t>Dec 1900</t>
  </si>
  <si>
    <t xml:space="preserve">1P 29 BODEGA PNAC       </t>
  </si>
  <si>
    <t xml:space="preserve">3P 82 SALA TIC          </t>
  </si>
  <si>
    <t>1P 10 BOX ATENCION URGEN</t>
  </si>
  <si>
    <t>1P 11 BOX CURACION Y TRA</t>
  </si>
  <si>
    <t>1P 12 SALA PROCEDIMIENTO</t>
  </si>
  <si>
    <t xml:space="preserve">1P 17 BOX QUIM FARM     </t>
  </si>
  <si>
    <t xml:space="preserve">1P 21 OIRS              </t>
  </si>
  <si>
    <t xml:space="preserve">1P 22 LACT PUBLICO      </t>
  </si>
  <si>
    <t>1P 28 SALA DE ESTIMULACI</t>
  </si>
  <si>
    <t xml:space="preserve">2P 31 BOX CLINICO       </t>
  </si>
  <si>
    <t xml:space="preserve">2P 32 BOX CLINICO       </t>
  </si>
  <si>
    <t xml:space="preserve">2P 33 BOX CLINICO       </t>
  </si>
  <si>
    <t xml:space="preserve">2P 34 BOX CLINICO       </t>
  </si>
  <si>
    <t xml:space="preserve">2P 35 BOX CLINICO       </t>
  </si>
  <si>
    <t xml:space="preserve">2P 36 BOX CLINICO       </t>
  </si>
  <si>
    <t xml:space="preserve">2P 37 BOX DENTAL        </t>
  </si>
  <si>
    <t xml:space="preserve">2P 38 BOX DENTAL        </t>
  </si>
  <si>
    <t xml:space="preserve">2P 47 RX DENTAL         </t>
  </si>
  <si>
    <t xml:space="preserve">2P 49 BOX CLINICO       </t>
  </si>
  <si>
    <t xml:space="preserve">2P 50 BOX CLINICO       </t>
  </si>
  <si>
    <t xml:space="preserve">2P 52 SOME SATELITAL    </t>
  </si>
  <si>
    <t xml:space="preserve">2P 53 TRAB CLIN GRUPAL  </t>
  </si>
  <si>
    <t xml:space="preserve">2P 56 BOX CLINICO       </t>
  </si>
  <si>
    <t xml:space="preserve">2P 57 BOX CLINICO       </t>
  </si>
  <si>
    <t xml:space="preserve">2P 61 BOX CLINICO       </t>
  </si>
  <si>
    <t xml:space="preserve">2P 62 BOX CLINICO       </t>
  </si>
  <si>
    <t xml:space="preserve">3P 63 BOX CLINICO       </t>
  </si>
  <si>
    <t xml:space="preserve">3P 64 BOX CLINICO       </t>
  </si>
  <si>
    <t xml:space="preserve">3P 65 BOX CLINICO       </t>
  </si>
  <si>
    <t xml:space="preserve">3P 66 BOX CLINICO       </t>
  </si>
  <si>
    <t xml:space="preserve">3P 85 SECRETARIA        </t>
  </si>
  <si>
    <t xml:space="preserve">3P 84 OF LINEA 800      </t>
  </si>
  <si>
    <t xml:space="preserve">3P 83 SALA TIC          </t>
  </si>
  <si>
    <t xml:space="preserve">3P 81 SALA INFORMES PRO </t>
  </si>
  <si>
    <t xml:space="preserve">3P 77 BOX GINECOLOGICO  </t>
  </si>
  <si>
    <t xml:space="preserve">3P 75 BOX CLINICO       </t>
  </si>
  <si>
    <t xml:space="preserve">3P 74 BOX CLINICO       </t>
  </si>
  <si>
    <t>3P 71 TRABAJ CLINIC GRUP</t>
  </si>
  <si>
    <t xml:space="preserve">3P 67 BOX CLINICO       </t>
  </si>
  <si>
    <t xml:space="preserve">3P 68 BOX CLINICO       </t>
  </si>
  <si>
    <t xml:space="preserve">3P 69 BOX DENTAL        </t>
  </si>
  <si>
    <t xml:space="preserve">3P 70 BOX DENTAL        </t>
  </si>
  <si>
    <t xml:space="preserve">3P 72 SOME SATELITE     </t>
  </si>
  <si>
    <t>1P 05 SALA GUARDIAS Y CH</t>
  </si>
  <si>
    <t xml:space="preserve">1P 30 BODEGA FARMACIA   </t>
  </si>
  <si>
    <t>UI-01</t>
  </si>
  <si>
    <t>UI-03</t>
  </si>
  <si>
    <t>UI-02</t>
  </si>
  <si>
    <t>UI-04</t>
  </si>
  <si>
    <t>UI-05</t>
  </si>
  <si>
    <t>UI-06</t>
  </si>
  <si>
    <t>FC-01</t>
  </si>
  <si>
    <t>FC-02</t>
  </si>
  <si>
    <t>FC-03</t>
  </si>
  <si>
    <t>FC-04</t>
  </si>
  <si>
    <t>FC-07</t>
  </si>
  <si>
    <t>FC-08</t>
  </si>
  <si>
    <t>FC-09</t>
  </si>
  <si>
    <t>FC-10</t>
  </si>
  <si>
    <t>FC-11</t>
  </si>
  <si>
    <t>FC-12</t>
  </si>
  <si>
    <t>FC-13</t>
  </si>
  <si>
    <t>FC-14</t>
  </si>
  <si>
    <t>FC-15</t>
  </si>
  <si>
    <t>FC-16</t>
  </si>
  <si>
    <t>FC-17</t>
  </si>
  <si>
    <t>FC-18</t>
  </si>
  <si>
    <t>FC-19</t>
  </si>
  <si>
    <t>FC-20</t>
  </si>
  <si>
    <t>FC-21</t>
  </si>
  <si>
    <t>FC-23</t>
  </si>
  <si>
    <t>FC-24</t>
  </si>
  <si>
    <t>FC-26</t>
  </si>
  <si>
    <t>FC-27</t>
  </si>
  <si>
    <t>FC-28</t>
  </si>
  <si>
    <t>FC-31</t>
  </si>
  <si>
    <t>FC-33</t>
  </si>
  <si>
    <t>FC-35</t>
  </si>
  <si>
    <t>FC-37</t>
  </si>
  <si>
    <t>FC-39</t>
  </si>
  <si>
    <t>FC-41</t>
  </si>
  <si>
    <t>FC-43</t>
  </si>
  <si>
    <t>FC-44</t>
  </si>
  <si>
    <t>FC-45</t>
  </si>
  <si>
    <t>FC-47</t>
  </si>
  <si>
    <t>FC-49</t>
  </si>
  <si>
    <t>FC-51</t>
  </si>
  <si>
    <t>FC-52</t>
  </si>
  <si>
    <t>FC-53</t>
  </si>
  <si>
    <t>FC-54</t>
  </si>
  <si>
    <t>FC-55</t>
  </si>
  <si>
    <t>FC-56</t>
  </si>
  <si>
    <t>FC-58</t>
  </si>
  <si>
    <t>2P 55 BOX CLINICO</t>
  </si>
  <si>
    <t>220/1/61</t>
  </si>
  <si>
    <t>Volumen</t>
  </si>
  <si>
    <t>(m3)</t>
  </si>
  <si>
    <t>Renov.</t>
  </si>
  <si>
    <t>Ae</t>
  </si>
  <si>
    <t>Renov</t>
  </si>
  <si>
    <t>Totales</t>
  </si>
  <si>
    <t>caudal Iny
L/s</t>
  </si>
  <si>
    <t>Calculo Kw</t>
  </si>
  <si>
    <t>AE
mcm</t>
  </si>
  <si>
    <t>10x10</t>
  </si>
  <si>
    <t>1P 09 SOME PROCEDIMIENTO</t>
  </si>
  <si>
    <t>Uncorrected Outdoor Air</t>
  </si>
  <si>
    <t xml:space="preserve">2P 39 TRAB CLIN GRUPAL  </t>
  </si>
  <si>
    <t xml:space="preserve">2P 40 SOME SATELITE </t>
  </si>
  <si>
    <t xml:space="preserve">2P 41 BOX CLINICO </t>
  </si>
  <si>
    <t>2P 42 BOX CLINICO</t>
  </si>
  <si>
    <t>19,0 / 22,1</t>
  </si>
  <si>
    <t>2P 44 BOX GINECOLOGICO</t>
  </si>
  <si>
    <t>2P 43 BOX PSICOLOGO</t>
  </si>
  <si>
    <t>Feb 1700</t>
  </si>
  <si>
    <t xml:space="preserve">2P 45 BOX DENTAL </t>
  </si>
  <si>
    <t>2P 46 BOX DENTAL</t>
  </si>
  <si>
    <t>220/1/54</t>
  </si>
  <si>
    <t>220/1/56</t>
  </si>
  <si>
    <t>35x30</t>
  </si>
  <si>
    <t>50x40</t>
  </si>
  <si>
    <t>A</t>
  </si>
  <si>
    <t>B</t>
  </si>
  <si>
    <t>40x40</t>
  </si>
  <si>
    <t>60x50</t>
  </si>
  <si>
    <t>rejillas</t>
  </si>
  <si>
    <t>caudal</t>
  </si>
  <si>
    <t>ducto</t>
  </si>
  <si>
    <t>30x25</t>
  </si>
  <si>
    <t>CAUDAL AIRE (MCH)</t>
  </si>
  <si>
    <t>CUADRO DE EQUIPOS</t>
  </si>
  <si>
    <t>VEX-02</t>
  </si>
  <si>
    <t>VIN-01</t>
  </si>
  <si>
    <t>VIN-02</t>
  </si>
  <si>
    <t>caudal de agua</t>
  </si>
  <si>
    <t>3-230/400V-50Hz</t>
  </si>
  <si>
    <t>3-400/690V-50Hz</t>
  </si>
  <si>
    <t>l/s</t>
  </si>
  <si>
    <t>m3/min</t>
  </si>
  <si>
    <t>por cada rejilla</t>
  </si>
  <si>
    <t>23,9 / 17,6</t>
  </si>
  <si>
    <t>16,8 / 22,5</t>
  </si>
  <si>
    <t>17,0 / 22,2</t>
  </si>
  <si>
    <t>Jan 1800</t>
  </si>
  <si>
    <t>16,1 / 22,2</t>
  </si>
  <si>
    <t>Feb 1500</t>
  </si>
  <si>
    <t>16,5 / 25,1</t>
  </si>
  <si>
    <t>25,0 / 18,0</t>
  </si>
  <si>
    <t>16,1 / 21,1</t>
  </si>
  <si>
    <t>15,9 / 14,9</t>
  </si>
  <si>
    <t>Dec 1400</t>
  </si>
  <si>
    <t>16,5 / 22,2</t>
  </si>
  <si>
    <t>Dec 1500</t>
  </si>
  <si>
    <t>15,8 / 22,7</t>
  </si>
  <si>
    <t>15,9 / 14,8</t>
  </si>
  <si>
    <t>16,3 / 22,7</t>
  </si>
  <si>
    <t>24,5 / 17,3</t>
  </si>
  <si>
    <t>14,4 / 13,6</t>
  </si>
  <si>
    <t>3,3 / 24,2</t>
  </si>
  <si>
    <t>15,4 / 14,7</t>
  </si>
  <si>
    <t>7,1 / 21,7</t>
  </si>
  <si>
    <t>20,3 / 22,1</t>
  </si>
  <si>
    <t>20,6 / 22,4</t>
  </si>
  <si>
    <t xml:space="preserve">1P 17 DESPACHO PNAC     </t>
  </si>
  <si>
    <t>24,5 / 17,8</t>
  </si>
  <si>
    <t>20,4 / 22,2</t>
  </si>
  <si>
    <t>23,5 / 17,8</t>
  </si>
  <si>
    <t>10,0 / 21,5</t>
  </si>
  <si>
    <t>24,3 / 17,8</t>
  </si>
  <si>
    <t>Jan 1400</t>
  </si>
  <si>
    <t>8,5 / 21,1</t>
  </si>
  <si>
    <t>24,7 / 18,4</t>
  </si>
  <si>
    <t>14,1 / 21,1</t>
  </si>
  <si>
    <t>23,8 / 17,3</t>
  </si>
  <si>
    <t>14,8 / 22,0</t>
  </si>
  <si>
    <t>23,1 / 17,0</t>
  </si>
  <si>
    <t>17,6 / 22,7</t>
  </si>
  <si>
    <t>22,9 / 17,0</t>
  </si>
  <si>
    <t>16,9 / 22,7</t>
  </si>
  <si>
    <t>23,2 / 17,3</t>
  </si>
  <si>
    <t>Jan 1000</t>
  </si>
  <si>
    <t>17,3 / 22,9</t>
  </si>
  <si>
    <t>17,5 / 22,4</t>
  </si>
  <si>
    <t>24,0 / 17,8</t>
  </si>
  <si>
    <t>15,8 / 22,4</t>
  </si>
  <si>
    <t>15,4 / 21,6</t>
  </si>
  <si>
    <t>24,9 / 18,3</t>
  </si>
  <si>
    <t>14,9 / 21,1</t>
  </si>
  <si>
    <t>15,9 / 15,3</t>
  </si>
  <si>
    <t>Dec 1600</t>
  </si>
  <si>
    <t>24,2 / 18,1</t>
  </si>
  <si>
    <t>15,7 / 15,1</t>
  </si>
  <si>
    <t>14,6 / 22,3</t>
  </si>
  <si>
    <t>24,4 / 18,2</t>
  </si>
  <si>
    <t>16,4 / 15,4</t>
  </si>
  <si>
    <t>15,6 / 22,5</t>
  </si>
  <si>
    <t>15,0 / 14,3</t>
  </si>
  <si>
    <t>17,6 / 22,4</t>
  </si>
  <si>
    <t>24,0 / 17,6</t>
  </si>
  <si>
    <t>17,8 / 22,5</t>
  </si>
  <si>
    <t>24,2 / 17,6</t>
  </si>
  <si>
    <t>17,8 / 22,4</t>
  </si>
  <si>
    <t>9,1 / 21,7</t>
  </si>
  <si>
    <t>15,0 / 14,2</t>
  </si>
  <si>
    <t>8,5 / 21,5</t>
  </si>
  <si>
    <t>23,8 / 17,5</t>
  </si>
  <si>
    <t>23,5 / 17,4</t>
  </si>
  <si>
    <t>15,3 / 21,7</t>
  </si>
  <si>
    <t>24,3 / 17,5</t>
  </si>
  <si>
    <t>20,0 / 22,2</t>
  </si>
  <si>
    <t>22,9 / 17,2</t>
  </si>
  <si>
    <t>14,6 / 14,1</t>
  </si>
  <si>
    <t>16,7 / 22,4</t>
  </si>
  <si>
    <t>24,1 / 17,7</t>
  </si>
  <si>
    <t>17,4 / 22,1</t>
  </si>
  <si>
    <t>23,8 / 17,7</t>
  </si>
  <si>
    <t>15,7 / 22,1</t>
  </si>
  <si>
    <t>24,0 / 17,7</t>
  </si>
  <si>
    <t>15,8 / 22,1</t>
  </si>
  <si>
    <t>17,2 / 22,4</t>
  </si>
  <si>
    <t>24,3 / 18,0</t>
  </si>
  <si>
    <t>10,7 / 21,9</t>
  </si>
  <si>
    <t>15,4 / 14,8</t>
  </si>
  <si>
    <t>17,0 / 22,8</t>
  </si>
  <si>
    <t>15,9 / 15,2</t>
  </si>
  <si>
    <t>15,4 / 22,4</t>
  </si>
  <si>
    <t>17,5 / 22,3</t>
  </si>
  <si>
    <t>20,2 / 22,5</t>
  </si>
  <si>
    <t>24,2 / 17,5</t>
  </si>
  <si>
    <t>Feb 1100</t>
  </si>
  <si>
    <t>20,0 / 22,5</t>
  </si>
  <si>
    <t>24,6 / 17,8</t>
  </si>
  <si>
    <t>20,0 / 22,3</t>
  </si>
  <si>
    <t>24,4 / 17,6</t>
  </si>
  <si>
    <t>20,7 / 22,4</t>
  </si>
  <si>
    <t>19,9 / 22,5</t>
  </si>
  <si>
    <t>24,5 / 17,7</t>
  </si>
  <si>
    <t>20,2 / 22,6</t>
  </si>
  <si>
    <t>20,1 / 22,5</t>
  </si>
  <si>
    <t>20,8 / 23,1</t>
  </si>
  <si>
    <t>1P 25 ACT VIDA DIARIA</t>
  </si>
  <si>
    <t>2P 48 SALA COMANDOS</t>
  </si>
  <si>
    <t>FC-59</t>
  </si>
  <si>
    <t>FC-60</t>
  </si>
  <si>
    <t>FC-61</t>
  </si>
  <si>
    <t>FC-63</t>
  </si>
  <si>
    <t>FC-65</t>
  </si>
  <si>
    <t>FC-67</t>
  </si>
  <si>
    <t>FC-69</t>
  </si>
  <si>
    <t>FC-71</t>
  </si>
  <si>
    <t>FC-72</t>
  </si>
  <si>
    <t>FC-73</t>
  </si>
  <si>
    <t>FC-74</t>
  </si>
  <si>
    <t>FC-76</t>
  </si>
  <si>
    <t>FC-77</t>
  </si>
  <si>
    <t>FC-78</t>
  </si>
  <si>
    <t>FC-79</t>
  </si>
  <si>
    <t>FC-80</t>
  </si>
  <si>
    <t>FC-81</t>
  </si>
  <si>
    <t>FC-83</t>
  </si>
  <si>
    <t>FC-84</t>
  </si>
  <si>
    <t>FC-85</t>
  </si>
  <si>
    <t>FC-86</t>
  </si>
  <si>
    <t>FC-87</t>
  </si>
  <si>
    <t>3,2 / 21,1</t>
  </si>
  <si>
    <t>mcm</t>
  </si>
  <si>
    <t>20*10</t>
  </si>
  <si>
    <t>25*20</t>
  </si>
  <si>
    <t>30*20</t>
  </si>
  <si>
    <t>20*20</t>
  </si>
  <si>
    <t>30*25</t>
  </si>
  <si>
    <t>30*30</t>
  </si>
  <si>
    <t xml:space="preserve">2P 50 ALTILLO BODEGA PNAC       </t>
  </si>
  <si>
    <t xml:space="preserve">2P 57 ALTILLO BODEGA FARMACIA   </t>
  </si>
  <si>
    <t>CVTT-9/9</t>
  </si>
  <si>
    <t>CVTT-10/10</t>
  </si>
  <si>
    <t>CVHT-25/25</t>
  </si>
  <si>
    <t>CVHT-12/12</t>
  </si>
  <si>
    <t>CVTT-7/7</t>
  </si>
  <si>
    <t>VEX-05</t>
  </si>
  <si>
    <t>50*50</t>
  </si>
  <si>
    <t>40*35</t>
  </si>
  <si>
    <t>40*40</t>
  </si>
  <si>
    <t>35*15</t>
  </si>
  <si>
    <t>35*20</t>
  </si>
  <si>
    <t>60*40</t>
  </si>
  <si>
    <t>VEX-06</t>
  </si>
  <si>
    <t>VEX-07</t>
  </si>
  <si>
    <t>extraccion de baños</t>
  </si>
  <si>
    <t>Total inyeccion</t>
  </si>
  <si>
    <t>Total prorrateado en 3 niveles (MCH)</t>
  </si>
  <si>
    <t>N° Rejillas por Piso</t>
  </si>
  <si>
    <t>caudal por rejilla (MCH)</t>
  </si>
  <si>
    <t>extraccion (90%)</t>
  </si>
  <si>
    <t>CÁLCULO EXTRACCIÓN</t>
  </si>
  <si>
    <t>Tramo desfavorable</t>
  </si>
  <si>
    <t>extraccion (sin baños)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</si>
</sst>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rgb="FF000000"/>
      <name val="Arial"/>
      <family val="2"/>
    </font>
    <font>
      <sz val="11"/>
      <color theme="0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2" fontId="0" fillId="0" borderId="0" xfId="0" applyNumberFormat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/>
    <xf numFmtId="0" fontId="0" fillId="2" borderId="0" xfId="0" applyFill="1"/>
    <xf numFmtId="0" fontId="0" fillId="0" borderId="0" xfId="0" applyFill="1"/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3" fillId="0" borderId="4" xfId="0" applyFont="1" applyFill="1" applyBorder="1" applyAlignment="1">
      <alignment horizontal="center"/>
    </xf>
    <xf numFmtId="0" fontId="0" fillId="0" borderId="2" xfId="0" applyBorder="1"/>
    <xf numFmtId="0" fontId="1" fillId="0" borderId="0" xfId="0" applyFont="1"/>
    <xf numFmtId="0" fontId="1" fillId="3" borderId="3" xfId="0" applyFont="1" applyFill="1" applyBorder="1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5" fillId="4" borderId="8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0" fillId="3" borderId="3" xfId="0" applyFon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5" fillId="4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horizontal="right" vertical="center" wrapText="1"/>
    </xf>
    <xf numFmtId="0" fontId="0" fillId="4" borderId="10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6" fillId="0" borderId="14" xfId="0" applyFont="1" applyBorder="1" applyAlignment="1">
      <alignment horizontal="left" vertical="center" wrapText="1"/>
    </xf>
    <xf numFmtId="1" fontId="0" fillId="0" borderId="3" xfId="0" applyNumberForma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164" fontId="0" fillId="0" borderId="0" xfId="0" applyNumberFormat="1" applyAlignment="1">
      <alignment horizontal="center" vertical="center"/>
    </xf>
    <xf numFmtId="0" fontId="5" fillId="4" borderId="7" xfId="0" applyFont="1" applyFill="1" applyBorder="1" applyAlignment="1">
      <alignment horizontal="right" vertical="center" wrapText="1"/>
    </xf>
    <xf numFmtId="0" fontId="8" fillId="4" borderId="9" xfId="0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0" fillId="0" borderId="0" xfId="0" applyFill="1" applyAlignment="1">
      <alignment horizontal="center"/>
    </xf>
    <xf numFmtId="0" fontId="6" fillId="0" borderId="13" xfId="0" applyFont="1" applyBorder="1" applyAlignment="1">
      <alignment horizontal="right" vertical="center" wrapText="1"/>
    </xf>
    <xf numFmtId="164" fontId="0" fillId="2" borderId="0" xfId="0" applyNumberFormat="1" applyFill="1"/>
    <xf numFmtId="164" fontId="0" fillId="0" borderId="0" xfId="0" applyNumberFormat="1" applyFill="1"/>
    <xf numFmtId="0" fontId="0" fillId="0" borderId="1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1" fontId="0" fillId="0" borderId="16" xfId="0" applyNumberFormat="1" applyBorder="1" applyAlignment="1">
      <alignment horizontal="center"/>
    </xf>
    <xf numFmtId="1" fontId="0" fillId="0" borderId="0" xfId="0" applyNumberFormat="1"/>
    <xf numFmtId="0" fontId="0" fillId="0" borderId="17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4" borderId="7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wrapText="1"/>
    </xf>
    <xf numFmtId="0" fontId="0" fillId="3" borderId="6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vertic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center" wrapText="1"/>
    </xf>
    <xf numFmtId="3" fontId="0" fillId="0" borderId="11" xfId="0" applyNumberFormat="1" applyBorder="1" applyAlignment="1">
      <alignment horizontal="center"/>
    </xf>
    <xf numFmtId="0" fontId="0" fillId="0" borderId="9" xfId="0" applyBorder="1" applyAlignment="1">
      <alignment wrapText="1"/>
    </xf>
    <xf numFmtId="4" fontId="0" fillId="0" borderId="7" xfId="0" applyNumberFormat="1" applyBorder="1" applyAlignment="1">
      <alignment horizontal="center"/>
    </xf>
    <xf numFmtId="3" fontId="0" fillId="5" borderId="13" xfId="0" applyNumberFormat="1" applyFill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0" fontId="0" fillId="0" borderId="19" xfId="0" applyFill="1" applyBorder="1"/>
    <xf numFmtId="3" fontId="9" fillId="0" borderId="14" xfId="0" applyNumberFormat="1" applyFont="1" applyBorder="1" applyAlignment="1">
      <alignment horizontal="center"/>
    </xf>
    <xf numFmtId="4" fontId="0" fillId="5" borderId="11" xfId="0" applyNumberFormat="1" applyFill="1" applyBorder="1" applyAlignment="1">
      <alignment horizontal="center"/>
    </xf>
    <xf numFmtId="1" fontId="0" fillId="5" borderId="7" xfId="0" applyNumberForma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" fillId="0" borderId="20" xfId="0" applyFont="1" applyFill="1" applyBorder="1"/>
    <xf numFmtId="1" fontId="0" fillId="0" borderId="21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2" xfId="0" applyBorder="1"/>
    <xf numFmtId="164" fontId="0" fillId="5" borderId="7" xfId="0" applyNumberFormat="1" applyFill="1" applyBorder="1" applyAlignment="1">
      <alignment horizontal="center"/>
    </xf>
    <xf numFmtId="0" fontId="0" fillId="0" borderId="23" xfId="0" applyBorder="1" applyAlignment="1">
      <alignment wrapText="1"/>
    </xf>
    <xf numFmtId="0" fontId="0" fillId="5" borderId="9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97971</xdr:colOff>
      <xdr:row>24</xdr:row>
      <xdr:rowOff>130629</xdr:rowOff>
    </xdr:from>
    <xdr:to>
      <xdr:col>6</xdr:col>
      <xdr:colOff>1087191</xdr:colOff>
      <xdr:row>43</xdr:row>
      <xdr:rowOff>98351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7B167898-9957-4A30-A29F-2E48A6459D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628" y="5312229"/>
          <a:ext cx="8866667" cy="34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6"/>
  <sheetViews>
    <sheetView zoomScale="85" zoomScaleNormal="85" workbookViewId="0">
      <pane xSplit="3" ySplit="4" topLeftCell="D83" activePane="bottomRight" state="frozen"/>
      <selection pane="topRight" activeCell="D1" sqref="D1"/>
      <selection pane="bottomLeft" activeCell="A5" sqref="A5"/>
      <selection pane="bottomRight" activeCell="J2" sqref="J2"/>
    </sheetView>
  </sheetViews>
  <sheetFormatPr baseColWidth="10" defaultRowHeight="15" outlineLevelRow="1" outlineLevelCol="1" x14ac:dyDescent="0.25"/>
  <cols>
    <col min="1" max="1" width="5.5703125" customWidth="1"/>
    <col min="2" max="2" width="5" style="1" bestFit="1" customWidth="1"/>
    <col min="3" max="3" width="33.28515625" style="3" bestFit="1" customWidth="1"/>
    <col min="4" max="4" width="13" style="1" bestFit="1" customWidth="1"/>
    <col min="5" max="5" width="9.85546875" style="1" customWidth="1"/>
    <col min="6" max="8" width="11.7109375" style="4" hidden="1" customWidth="1" outlineLevel="1"/>
    <col min="9" max="9" width="14.7109375" style="4" hidden="1" customWidth="1" outlineLevel="1"/>
    <col min="10" max="10" width="13.140625" style="5" customWidth="1" collapsed="1"/>
    <col min="11" max="11" width="11.7109375" style="1" customWidth="1"/>
    <col min="12" max="12" width="14.7109375" style="1" customWidth="1"/>
    <col min="13" max="13" width="10.5703125" style="1" customWidth="1"/>
    <col min="14" max="14" width="11.28515625" style="1" customWidth="1"/>
    <col min="15" max="15" width="10.42578125" style="84" customWidth="1" outlineLevel="1"/>
    <col min="16" max="16" width="10.42578125" customWidth="1"/>
    <col min="17" max="17" width="8.85546875" customWidth="1"/>
    <col min="18" max="18" width="12" customWidth="1"/>
    <col min="19" max="19" width="10.42578125" style="2" bestFit="1" customWidth="1"/>
    <col min="20" max="20" width="12.7109375" bestFit="1" customWidth="1"/>
    <col min="21" max="21" width="7.7109375" bestFit="1" customWidth="1"/>
    <col min="22" max="22" width="11.42578125" style="59"/>
    <col min="23" max="23" width="10.28515625" bestFit="1" customWidth="1"/>
    <col min="24" max="24" width="8.85546875" bestFit="1" customWidth="1"/>
  </cols>
  <sheetData>
    <row r="1" spans="2:34" ht="21" x14ac:dyDescent="0.35">
      <c r="C1" s="93" t="s">
        <v>0</v>
      </c>
      <c r="D1" s="93"/>
      <c r="E1" s="93"/>
      <c r="I1" s="4">
        <v>4</v>
      </c>
      <c r="J1" s="5">
        <v>8</v>
      </c>
      <c r="K1" s="1">
        <v>12</v>
      </c>
      <c r="L1" s="1">
        <v>16</v>
      </c>
      <c r="M1" s="1">
        <v>20</v>
      </c>
      <c r="N1" s="1">
        <v>24</v>
      </c>
      <c r="O1" s="84">
        <v>28</v>
      </c>
      <c r="R1">
        <f>35*18</f>
        <v>630</v>
      </c>
      <c r="V1" s="86"/>
      <c r="W1" s="32"/>
      <c r="X1" s="32">
        <v>560</v>
      </c>
      <c r="Y1">
        <f>SUM(V1:X1)</f>
        <v>560</v>
      </c>
      <c r="Z1">
        <f>Y1*0.06</f>
        <v>33.6</v>
      </c>
      <c r="AA1">
        <v>18</v>
      </c>
      <c r="AB1">
        <v>35</v>
      </c>
      <c r="AC1">
        <f>AA1*AB1</f>
        <v>630</v>
      </c>
    </row>
    <row r="2" spans="2:34" x14ac:dyDescent="0.25">
      <c r="I2" s="4" t="s">
        <v>519</v>
      </c>
      <c r="J2" s="5" t="s">
        <v>522</v>
      </c>
      <c r="K2" s="1" t="s">
        <v>520</v>
      </c>
      <c r="L2" s="1" t="s">
        <v>521</v>
      </c>
      <c r="M2" s="1" t="s">
        <v>523</v>
      </c>
      <c r="N2" s="1" t="s">
        <v>523</v>
      </c>
      <c r="O2" s="84" t="s">
        <v>524</v>
      </c>
      <c r="Y2" t="s">
        <v>390</v>
      </c>
      <c r="Z2" t="s">
        <v>518</v>
      </c>
    </row>
    <row r="3" spans="2:34" x14ac:dyDescent="0.25">
      <c r="F3" s="98" t="s">
        <v>355</v>
      </c>
      <c r="G3" s="98"/>
      <c r="H3" s="98"/>
      <c r="I3" s="98"/>
      <c r="J3" s="99" t="s">
        <v>13</v>
      </c>
      <c r="K3" s="100"/>
      <c r="L3" s="100"/>
      <c r="M3" s="100"/>
      <c r="N3" s="101"/>
    </row>
    <row r="4" spans="2:34" ht="60" x14ac:dyDescent="0.25">
      <c r="B4" s="6" t="s">
        <v>2</v>
      </c>
      <c r="C4" s="6" t="s">
        <v>3</v>
      </c>
      <c r="D4" s="6" t="s">
        <v>1</v>
      </c>
      <c r="E4" s="6" t="s">
        <v>11</v>
      </c>
      <c r="F4" s="8" t="s">
        <v>4</v>
      </c>
      <c r="G4" s="8" t="s">
        <v>6</v>
      </c>
      <c r="H4" s="8" t="s">
        <v>5</v>
      </c>
      <c r="I4" s="8" t="s">
        <v>7</v>
      </c>
      <c r="J4" s="8" t="s">
        <v>17</v>
      </c>
      <c r="K4" s="7" t="s">
        <v>4</v>
      </c>
      <c r="L4" s="7" t="s">
        <v>6</v>
      </c>
      <c r="M4" s="7" t="s">
        <v>5</v>
      </c>
      <c r="N4" s="7" t="s">
        <v>7</v>
      </c>
      <c r="O4" s="19" t="s">
        <v>8</v>
      </c>
      <c r="P4" s="7" t="s">
        <v>9</v>
      </c>
      <c r="Q4" s="7" t="s">
        <v>19</v>
      </c>
      <c r="R4" s="9" t="s">
        <v>10</v>
      </c>
      <c r="S4" s="19" t="s">
        <v>20</v>
      </c>
      <c r="T4" s="21" t="s">
        <v>21</v>
      </c>
      <c r="U4" s="19" t="s">
        <v>22</v>
      </c>
      <c r="W4" s="58" t="s">
        <v>14</v>
      </c>
      <c r="X4" s="58" t="s">
        <v>135</v>
      </c>
      <c r="Z4" s="58" t="s">
        <v>356</v>
      </c>
      <c r="AA4" s="58" t="s">
        <v>354</v>
      </c>
      <c r="AC4" t="s">
        <v>247</v>
      </c>
    </row>
    <row r="5" spans="2:34" outlineLevel="1" x14ac:dyDescent="0.25">
      <c r="B5" s="10">
        <v>1</v>
      </c>
      <c r="C5" s="11" t="str">
        <f>REPORTE!A6</f>
        <v xml:space="preserve">1P 01 SALA IRA          </v>
      </c>
      <c r="D5" s="10" t="s">
        <v>304</v>
      </c>
      <c r="E5" s="10" t="s">
        <v>12</v>
      </c>
      <c r="F5" s="12">
        <f>REPORTE!B6</f>
        <v>3.1</v>
      </c>
      <c r="G5" s="12">
        <f>REPORTE!C6</f>
        <v>3.1</v>
      </c>
      <c r="H5" s="12">
        <f>REPORTE!J6</f>
        <v>2</v>
      </c>
      <c r="I5" s="12">
        <f t="shared" ref="I5:I15" si="0">AA5*3.6</f>
        <v>1029.6000000000001</v>
      </c>
      <c r="J5" s="12" t="str">
        <f>+IF(G5&lt;1.38,"200",IF(AND(1.39&lt;G5,G5&lt;1.86),"300",IF(AND(1.87&lt;G5,G5&lt;2.48),"400",IF(AND(2.49&lt;G5,G5&lt;2.96),"500",IF(AND(2.97&lt;G5,G5&lt;3.44),"600",IF(AND(3.45&lt;G5,G5&lt;4.68),"800",IF(AND(4.69&lt;G5,G5&lt;5.37),"1000",IF(AND(5.38&lt;G5,G5&lt;7.02),"1200",IF(AND(7.1&lt;G5,G5&gt;7.92),"1400",)))))))))</f>
        <v>600</v>
      </c>
      <c r="K5" s="10">
        <f>IF(J5="200",HLOOKUP($K$4,Fancoils!$B$12:$I$21,2,FALSE),IF(J5="300",HLOOKUP($K$4,Fancoils!$B$12:$I$21,3,FALSE),IF(J5="400",HLOOKUP($K$4,Fancoils!$B$12:$I$21,4,FALSE),IF(J5="500",HLOOKUP($K$4,Fancoils!$B$12:$I$21,5,FALSE),IF(J5="600",HLOOKUP($K$4,Fancoils!$B$12:$I$21,6,FALSE),IF(J5="800",HLOOKUP($K$4,Fancoils!$B$12:$I$21,7,FALSE),IF(J5="1000",HLOOKUP($K$4,Fancoils!$B$12:$I$21,8,FALSE),IF(J5="1200",HLOOKUP($K$4,Fancoils!$B$12:$I$21,9,FALSE),IF(J5="1400",HLOOKUP($K$4,Fancoils!$B$12:$I$21,10,FALSE))))))))))</f>
        <v>5</v>
      </c>
      <c r="L5" s="10">
        <f>IF(J5="200",HLOOKUP($L$4,Fancoils!$B$12:$I$21,2,FALSE),IF(J5="300",HLOOKUP($L$4,Fancoils!$B$12:$I$21,3,FALSE),IF(J5="400",HLOOKUP($L$4,Fancoils!$B$12:$I$21,4,FALSE),IF(J5="500",HLOOKUP($L$4,Fancoils!$B$12:$I$21,5,FALSE),IF(J5="600",HLOOKUP($L$4,Fancoils!$B$12:$I$21,6,FALSE),IF(J5="800",HLOOKUP($L$4,Fancoils!$B$12:$I$21,7,FALSE),IF(J5="1000",HLOOKUP($L$4,Fancoils!$B$12:$I$21,8,FALSE),IF(J5="1200",HLOOKUP($L$4,Fancoils!$B$12:$I$21,9,FALSE),IF(J5="1400",HLOOKUP($L$4,Fancoils!$B$12:$I$21,10,FALSE))))))))))</f>
        <v>3.44</v>
      </c>
      <c r="M5" s="10">
        <f>IF(J5="200",HLOOKUP($M$4,Fancoils!$B$12:$I$21,2,FALSE),IF(J5="300",HLOOKUP($M$4,Fancoils!$B$12:$I$21,3,FALSE),IF(J5="400",HLOOKUP($M$4,Fancoils!$B$12:$I$21,4,FALSE),IF(J5="500",HLOOKUP($M$4,Fancoils!$B$12:$I$21,5,FALSE),IF(J5="600",HLOOKUP($M$4,Fancoils!$B$12:$I$21,6,FALSE),IF(J5="800",HLOOKUP($M$4,Fancoils!$B$12:$I$21,7,FALSE),IF(J5="1000",HLOOKUP($M$4,Fancoils!$B$12:$I$21,8,FALSE),IF(J5="1200",HLOOKUP($M$4,Fancoils!$B$12:$I$21,9,FALSE),IF(J5="1400",HLOOKUP($M$4,Fancoils!$B$12:$I$21,10,FALSE))))))))))</f>
        <v>4.32</v>
      </c>
      <c r="N5" s="10">
        <f>IF(J5="200",HLOOKUP($N$4,Fancoils!$B$12:$I$21,2,FALSE),IF(J5="300",HLOOKUP($N$4,Fancoils!$B$12:$I$21,3,FALSE),IF(J5="400",HLOOKUP($N$4,Fancoils!$B$12:$I$21,4,FALSE),IF(J5="500",HLOOKUP($N$4,Fancoils!$B$12:$I$21,5,FALSE),IF(J5="600",HLOOKUP($N$4,Fancoils!$B$12:$I$21,6,FALSE),IF(J5="800",HLOOKUP($N$4,Fancoils!$B$12:$I$21,7,FALSE),IF(J5="1000",HLOOKUP($N$4,Fancoils!$B$12:$I$21,8,FALSE),IF(J5="1200",HLOOKUP($N$4,Fancoils!$B$12:$I$21,9,FALSE),IF(J5="1400",HLOOKUP($N$4,Fancoils!$B$12:$I$21,10,FALSE))))))))))</f>
        <v>1020</v>
      </c>
      <c r="O5" s="36">
        <f>REPORTE!P6</f>
        <v>60</v>
      </c>
      <c r="P5" s="14">
        <f>O5*3.6</f>
        <v>216</v>
      </c>
      <c r="Q5" s="10">
        <f>IF(J5="200",HLOOKUP($Q$4,Fancoils!$B$12:$I$21,2,FALSE),IF(J5="300",HLOOKUP($Q$4,Fancoils!$B$12:$I$21,3,FALSE),IF(J5="400",HLOOKUP($Q$4,Fancoils!$B$12:$I$21,4,FALSE),IF(J5="500",HLOOKUP($Q$4,Fancoils!$B$12:$I$21,5,FALSE),IF(J5="600",HLOOKUP($Q$4,Fancoils!$B$12:$I$21,6,FALSE),IF(J5="800",HLOOKUP($Q$4,Fancoils!$B$12:$I$21,7,FALSE),IF(J5="1000",HLOOKUP($Q$4,Fancoils!$B$12:$I$21,8,FALSE),IF(J5="1200",HLOOKUP($Q$4,Fancoils!$B$12:$I$21,9,FALSE),IF(J5="1400",HLOOKUP($Q$4,Fancoils!$B$12:$I$21,10,FALSE))))))))))</f>
        <v>170</v>
      </c>
      <c r="R5" s="10" t="s">
        <v>18</v>
      </c>
      <c r="S5" s="10">
        <v>2</v>
      </c>
      <c r="T5" s="22">
        <f>N5/S5</f>
        <v>510</v>
      </c>
      <c r="U5" s="13">
        <f>N5-P5</f>
        <v>804</v>
      </c>
      <c r="V5" s="59">
        <f>T5/60</f>
        <v>8.5</v>
      </c>
      <c r="W5" s="12">
        <f>IF(J5="200",HLOOKUP($W$4,Fancoils!$B$12:$S$21,2,FALSE),IF(J5="300",HLOOKUP($W$4,Fancoils!$B$12:$S$21,3,FALSE),IF(J5="400",HLOOKUP($W$4,Fancoils!$B$12:$S$21,4,FALSE),IF(J5="500",HLOOKUP($W$4,Fancoils!$B$12:$S$21,5,FALSE),IF(J5="600",HLOOKUP($W$4,Fancoils!$B$12:$S$21,6,FALSE),IF(J5="800",HLOOKUP($W$4,Fancoils!$B$12:$S$21,7,FALSE),IF(J5="1000",HLOOKUP($W$4,Fancoils!$B$12:$S$21,8,FALSE),IF(J5="1200",HLOOKUP($W$4,Fancoils!$B$12:$S$21,9,FALSE),IF(J5="1400",HLOOKUP($W$4,Fancoils!$B$12:$S$21,10,FALSE))))))))))</f>
        <v>14.333333333333334</v>
      </c>
      <c r="X5" s="12">
        <f>IF(J5="200",HLOOKUP($X$4,Fancoils!$B$12:$S$21,2,FALSE),IF(J5="300",HLOOKUP($X$4,Fancoils!$B$12:$S$21,3,FALSE),IF(J5="400",HLOOKUP($X$4,Fancoils!$B$12:$S$21,4,FALSE),IF(J5="500",HLOOKUP($X$4,Fancoils!$B$12:$S$21,5,FALSE),IF(J5="600",HLOOKUP($X$4,Fancoils!$B$12:$S$21,6,FALSE),IF(J5="800",HLOOKUP($X$4,Fancoils!$B$12:$S$21,7,FALSE),IF(J5="1000",HLOOKUP($X$4,Fancoils!$B$12:$S$21,8,FALSE),IF(J5="1200",HLOOKUP($X$4,Fancoils!$B$12:$S$21,9,FALSE),IF(J5="1400",HLOOKUP($X$4,Fancoils!$B$12:$S$21,10,FALSE))))))))))</f>
        <v>10.333333333333334</v>
      </c>
      <c r="Y5" t="s">
        <v>121</v>
      </c>
      <c r="Z5" s="2">
        <f>P5/60</f>
        <v>3.6</v>
      </c>
      <c r="AA5">
        <f>REPORTE!M6</f>
        <v>286</v>
      </c>
      <c r="AB5">
        <f>SUM(Z5:Z11)+Z16+Z17</f>
        <v>87.960000000000008</v>
      </c>
      <c r="AC5" t="s">
        <v>100</v>
      </c>
    </row>
    <row r="6" spans="2:34" outlineLevel="1" x14ac:dyDescent="0.25">
      <c r="B6" s="10">
        <v>1</v>
      </c>
      <c r="C6" s="11" t="str">
        <f>REPORTE!A7</f>
        <v xml:space="preserve">1P 02 SALA ERA          </v>
      </c>
      <c r="D6" s="10" t="s">
        <v>305</v>
      </c>
      <c r="E6" s="10" t="s">
        <v>12</v>
      </c>
      <c r="F6" s="12">
        <f>REPORTE!B7</f>
        <v>3.1</v>
      </c>
      <c r="G6" s="12">
        <f>REPORTE!C7</f>
        <v>3.1</v>
      </c>
      <c r="H6" s="12">
        <f>REPORTE!J7</f>
        <v>1.8</v>
      </c>
      <c r="I6" s="12">
        <f t="shared" si="0"/>
        <v>1036.8</v>
      </c>
      <c r="J6" s="12" t="str">
        <f t="shared" ref="J6:J7" si="1">+IF(G6&lt;1.38,"200",IF(AND(1.39&lt;G6,G6&lt;1.86),"300",IF(AND(1.87&lt;G6,G6&lt;2.48),"400",IF(AND(2.49&lt;G6,G6&lt;2.96),"500",IF(AND(2.97&lt;G6,G6&lt;3.44),"600",IF(AND(3.45&lt;G6,G6&lt;4.68),"800",IF(AND(4.69&lt;G6,G6&lt;5.37),"1000",IF(AND(5.38&lt;G6,G6&lt;7.02),"1200",IF(AND(7.1&lt;G6,G6&gt;7.92),"1400",)))))))))</f>
        <v>600</v>
      </c>
      <c r="K6" s="10">
        <f>IF(J6="200",HLOOKUP($K$4,Fancoils!$B$12:$I$21,2,FALSE),IF(J6="300",HLOOKUP($K$4,Fancoils!$B$12:$I$21,3,FALSE),IF(J6="400",HLOOKUP($K$4,Fancoils!$B$12:$I$21,4,FALSE),IF(J6="500",HLOOKUP($K$4,Fancoils!$B$12:$I$21,5,FALSE),IF(J6="600",HLOOKUP($K$4,Fancoils!$B$12:$I$21,6,FALSE),IF(J6="800",HLOOKUP($K$4,Fancoils!$B$12:$I$21,7,FALSE),IF(J6="1000",HLOOKUP($K$4,Fancoils!$B$12:$I$21,8,FALSE),IF(J6="1200",HLOOKUP($K$4,Fancoils!$B$12:$I$21,9,FALSE),IF(J6="1400",HLOOKUP($K$4,Fancoils!$B$12:$I$21,10,FALSE))))))))))</f>
        <v>5</v>
      </c>
      <c r="L6" s="10">
        <f>IF(J6="200",HLOOKUP($L$4,Fancoils!$B$12:$I$21,2,FALSE),IF(J6="300",HLOOKUP($L$4,Fancoils!$B$12:$I$21,3,FALSE),IF(J6="400",HLOOKUP($L$4,Fancoils!$B$12:$I$21,4,FALSE),IF(J6="500",HLOOKUP($L$4,Fancoils!$B$12:$I$21,5,FALSE),IF(J6="600",HLOOKUP($L$4,Fancoils!$B$12:$I$21,6,FALSE),IF(J6="800",HLOOKUP($L$4,Fancoils!$B$12:$I$21,7,FALSE),IF(J6="1000",HLOOKUP($L$4,Fancoils!$B$12:$I$21,8,FALSE),IF(J6="1200",HLOOKUP($L$4,Fancoils!$B$12:$I$21,9,FALSE),IF(J6="1400",HLOOKUP($L$4,Fancoils!$B$12:$I$21,10,FALSE))))))))))</f>
        <v>3.44</v>
      </c>
      <c r="M6" s="10">
        <f>IF(J6="200",HLOOKUP($M$4,Fancoils!$B$12:$I$21,2,FALSE),IF(J6="300",HLOOKUP($M$4,Fancoils!$B$12:$I$21,3,FALSE),IF(J6="400",HLOOKUP($M$4,Fancoils!$B$12:$I$21,4,FALSE),IF(J6="500",HLOOKUP($M$4,Fancoils!$B$12:$I$21,5,FALSE),IF(J6="600",HLOOKUP($M$4,Fancoils!$B$12:$I$21,6,FALSE),IF(J6="800",HLOOKUP($M$4,Fancoils!$B$12:$I$21,7,FALSE),IF(J6="1000",HLOOKUP($M$4,Fancoils!$B$12:$I$21,8,FALSE),IF(J6="1200",HLOOKUP($M$4,Fancoils!$B$12:$I$21,9,FALSE),IF(J6="1400",HLOOKUP($M$4,Fancoils!$B$12:$I$21,10,FALSE))))))))))</f>
        <v>4.32</v>
      </c>
      <c r="N6" s="10">
        <f>IF(J6="200",HLOOKUP($N$4,Fancoils!$B$12:$I$21,2,FALSE),IF(J6="300",HLOOKUP($N$4,Fancoils!$B$12:$I$21,3,FALSE),IF(J6="400",HLOOKUP($N$4,Fancoils!$B$12:$I$21,4,FALSE),IF(J6="500",HLOOKUP($N$4,Fancoils!$B$12:$I$21,5,FALSE),IF(J6="600",HLOOKUP($N$4,Fancoils!$B$12:$I$21,6,FALSE),IF(J6="800",HLOOKUP($N$4,Fancoils!$B$12:$I$21,7,FALSE),IF(J6="1000",HLOOKUP($N$4,Fancoils!$B$12:$I$21,8,FALSE),IF(J6="1200",HLOOKUP($N$4,Fancoils!$B$12:$I$21,9,FALSE),IF(J6="1400",HLOOKUP($N$4,Fancoils!$B$12:$I$21,10,FALSE))))))))))</f>
        <v>1020</v>
      </c>
      <c r="O6" s="36">
        <f>REPORTE!P7</f>
        <v>62</v>
      </c>
      <c r="P6" s="14">
        <f t="shared" ref="P6:P7" si="2">O6*3.6</f>
        <v>223.20000000000002</v>
      </c>
      <c r="Q6" s="10">
        <f>IF(J6="200",HLOOKUP($Q$4,Fancoils!$B$12:$I$21,2,FALSE),IF(J6="300",HLOOKUP($Q$4,Fancoils!$B$12:$I$21,3,FALSE),IF(J6="400",HLOOKUP($Q$4,Fancoils!$B$12:$I$21,4,FALSE),IF(J6="500",HLOOKUP($Q$4,Fancoils!$B$12:$I$21,5,FALSE),IF(J6="600",HLOOKUP($Q$4,Fancoils!$B$12:$I$21,6,FALSE),IF(J6="800",HLOOKUP($Q$4,Fancoils!$B$12:$I$21,7,FALSE),IF(J6="1000",HLOOKUP($Q$4,Fancoils!$B$12:$I$21,8,FALSE),IF(J6="1200",HLOOKUP($Q$4,Fancoils!$B$12:$I$21,9,FALSE),IF(J6="1400",HLOOKUP($Q$4,Fancoils!$B$12:$I$21,10,FALSE))))))))))</f>
        <v>170</v>
      </c>
      <c r="R6" s="10" t="s">
        <v>18</v>
      </c>
      <c r="S6" s="10">
        <v>2</v>
      </c>
      <c r="T6" s="22">
        <f t="shared" ref="T6:T7" si="3">N6/S6</f>
        <v>510</v>
      </c>
      <c r="U6" s="13">
        <f t="shared" ref="U6:U7" si="4">N6-P6</f>
        <v>796.8</v>
      </c>
      <c r="V6" s="59">
        <f t="shared" ref="V6:V69" si="5">T6/60</f>
        <v>8.5</v>
      </c>
      <c r="W6" s="12">
        <f>IF(J6="200",HLOOKUP($W$4,Fancoils!$B$12:$S$21,2,FALSE),IF(J6="300",HLOOKUP($W$4,Fancoils!$B$12:$S$21,3,FALSE),IF(J6="400",HLOOKUP($W$4,Fancoils!$B$12:$S$21,4,FALSE),IF(J6="500",HLOOKUP($W$4,Fancoils!$B$12:$S$21,5,FALSE),IF(J6="600",HLOOKUP($W$4,Fancoils!$B$12:$S$21,6,FALSE),IF(J6="800",HLOOKUP($W$4,Fancoils!$B$12:$S$21,7,FALSE),IF(J6="1000",HLOOKUP($W$4,Fancoils!$B$12:$S$21,8,FALSE),IF(J6="1200",HLOOKUP($W$4,Fancoils!$B$12:$S$21,9,FALSE),IF(J6="1400",HLOOKUP($W$4,Fancoils!$B$12:$S$21,10,FALSE))))))))))</f>
        <v>14.333333333333334</v>
      </c>
      <c r="X6" s="12">
        <f>IF(J6="200",HLOOKUP($X$4,Fancoils!$B$12:$S$21,2,FALSE),IF(J6="300",HLOOKUP($X$4,Fancoils!$B$12:$S$21,3,FALSE),IF(J6="400",HLOOKUP($X$4,Fancoils!$B$12:$S$21,4,FALSE),IF(J6="500",HLOOKUP($X$4,Fancoils!$B$12:$S$21,5,FALSE),IF(J6="600",HLOOKUP($X$4,Fancoils!$B$12:$S$21,6,FALSE),IF(J6="800",HLOOKUP($X$4,Fancoils!$B$12:$S$21,7,FALSE),IF(J6="1000",HLOOKUP($X$4,Fancoils!$B$12:$S$21,8,FALSE),IF(J6="1200",HLOOKUP($X$4,Fancoils!$B$12:$S$21,9,FALSE),IF(J6="1400",HLOOKUP($X$4,Fancoils!$B$12:$S$21,10,FALSE))))))))))</f>
        <v>10.333333333333334</v>
      </c>
      <c r="Y6" t="s">
        <v>121</v>
      </c>
      <c r="Z6" s="2">
        <f t="shared" ref="Z6:Z78" si="6">P6/60</f>
        <v>3.72</v>
      </c>
      <c r="AA6">
        <f>REPORTE!M7</f>
        <v>288</v>
      </c>
    </row>
    <row r="7" spans="2:34" outlineLevel="1" x14ac:dyDescent="0.25">
      <c r="B7" s="10">
        <v>1</v>
      </c>
      <c r="C7" s="11" t="str">
        <f>REPORTE!A8</f>
        <v>1P 03 SALA TOMA DE MUEST</v>
      </c>
      <c r="D7" s="10" t="s">
        <v>306</v>
      </c>
      <c r="E7" s="10" t="s">
        <v>12</v>
      </c>
      <c r="F7" s="12">
        <f>REPORTE!B8</f>
        <v>3.1</v>
      </c>
      <c r="G7" s="12">
        <f>REPORTE!C8</f>
        <v>3.1</v>
      </c>
      <c r="H7" s="12">
        <f>REPORTE!J8</f>
        <v>2.1</v>
      </c>
      <c r="I7" s="12">
        <f t="shared" si="0"/>
        <v>1058.4000000000001</v>
      </c>
      <c r="J7" s="12" t="str">
        <f t="shared" si="1"/>
        <v>600</v>
      </c>
      <c r="K7" s="10">
        <f>IF(J7="200",HLOOKUP($K$4,Fancoils!$B$12:$I$21,2,FALSE),IF(J7="300",HLOOKUP($K$4,Fancoils!$B$12:$I$21,3,FALSE),IF(J7="400",HLOOKUP($K$4,Fancoils!$B$12:$I$21,4,FALSE),IF(J7="500",HLOOKUP($K$4,Fancoils!$B$12:$I$21,5,FALSE),IF(J7="600",HLOOKUP($K$4,Fancoils!$B$12:$I$21,6,FALSE),IF(J7="800",HLOOKUP($K$4,Fancoils!$B$12:$I$21,7,FALSE),IF(J7="1000",HLOOKUP($K$4,Fancoils!$B$12:$I$21,8,FALSE),IF(J7="1200",HLOOKUP($K$4,Fancoils!$B$12:$I$21,9,FALSE),IF(J7="1400",HLOOKUP($K$4,Fancoils!$B$12:$I$21,10,FALSE))))))))))</f>
        <v>5</v>
      </c>
      <c r="L7" s="10">
        <f>IF(J7="200",HLOOKUP($L$4,Fancoils!$B$12:$I$21,2,FALSE),IF(J7="300",HLOOKUP($L$4,Fancoils!$B$12:$I$21,3,FALSE),IF(J7="400",HLOOKUP($L$4,Fancoils!$B$12:$I$21,4,FALSE),IF(J7="500",HLOOKUP($L$4,Fancoils!$B$12:$I$21,5,FALSE),IF(J7="600",HLOOKUP($L$4,Fancoils!$B$12:$I$21,6,FALSE),IF(J7="800",HLOOKUP($L$4,Fancoils!$B$12:$I$21,7,FALSE),IF(J7="1000",HLOOKUP($L$4,Fancoils!$B$12:$I$21,8,FALSE),IF(J7="1200",HLOOKUP($L$4,Fancoils!$B$12:$I$21,9,FALSE),IF(J7="1400",HLOOKUP($L$4,Fancoils!$B$12:$I$21,10,FALSE))))))))))</f>
        <v>3.44</v>
      </c>
      <c r="M7" s="10">
        <f>IF(J7="200",HLOOKUP($M$4,Fancoils!$B$12:$I$21,2,FALSE),IF(J7="300",HLOOKUP($M$4,Fancoils!$B$12:$I$21,3,FALSE),IF(J7="400",HLOOKUP($M$4,Fancoils!$B$12:$I$21,4,FALSE),IF(J7="500",HLOOKUP($M$4,Fancoils!$B$12:$I$21,5,FALSE),IF(J7="600",HLOOKUP($M$4,Fancoils!$B$12:$I$21,6,FALSE),IF(J7="800",HLOOKUP($M$4,Fancoils!$B$12:$I$21,7,FALSE),IF(J7="1000",HLOOKUP($M$4,Fancoils!$B$12:$I$21,8,FALSE),IF(J7="1200",HLOOKUP($M$4,Fancoils!$B$12:$I$21,9,FALSE),IF(J7="1400",HLOOKUP($M$4,Fancoils!$B$12:$I$21,10,FALSE))))))))))</f>
        <v>4.32</v>
      </c>
      <c r="N7" s="10">
        <f>IF(J7="200",HLOOKUP($N$4,Fancoils!$B$12:$I$21,2,FALSE),IF(J7="300",HLOOKUP($N$4,Fancoils!$B$12:$I$21,3,FALSE),IF(J7="400",HLOOKUP($N$4,Fancoils!$B$12:$I$21,4,FALSE),IF(J7="500",HLOOKUP($N$4,Fancoils!$B$12:$I$21,5,FALSE),IF(J7="600",HLOOKUP($N$4,Fancoils!$B$12:$I$21,6,FALSE),IF(J7="800",HLOOKUP($N$4,Fancoils!$B$12:$I$21,7,FALSE),IF(J7="1000",HLOOKUP($N$4,Fancoils!$B$12:$I$21,8,FALSE),IF(J7="1200",HLOOKUP($N$4,Fancoils!$B$12:$I$21,9,FALSE),IF(J7="1400",HLOOKUP($N$4,Fancoils!$B$12:$I$21,10,FALSE))))))))))</f>
        <v>1020</v>
      </c>
      <c r="O7" s="36">
        <f>REPORTE!P8</f>
        <v>75</v>
      </c>
      <c r="P7" s="14">
        <f t="shared" si="2"/>
        <v>270</v>
      </c>
      <c r="Q7" s="10">
        <f>IF(J7="200",HLOOKUP($Q$4,Fancoils!$B$12:$I$21,2,FALSE),IF(J7="300",HLOOKUP($Q$4,Fancoils!$B$12:$I$21,3,FALSE),IF(J7="400",HLOOKUP($Q$4,Fancoils!$B$12:$I$21,4,FALSE),IF(J7="500",HLOOKUP($Q$4,Fancoils!$B$12:$I$21,5,FALSE),IF(J7="600",HLOOKUP($Q$4,Fancoils!$B$12:$I$21,6,FALSE),IF(J7="800",HLOOKUP($Q$4,Fancoils!$B$12:$I$21,7,FALSE),IF(J7="1000",HLOOKUP($Q$4,Fancoils!$B$12:$I$21,8,FALSE),IF(J7="1200",HLOOKUP($Q$4,Fancoils!$B$12:$I$21,9,FALSE),IF(J7="1400",HLOOKUP($Q$4,Fancoils!$B$12:$I$21,10,FALSE))))))))))</f>
        <v>170</v>
      </c>
      <c r="R7" s="10" t="s">
        <v>18</v>
      </c>
      <c r="S7" s="10">
        <v>2</v>
      </c>
      <c r="T7" s="22">
        <f t="shared" si="3"/>
        <v>510</v>
      </c>
      <c r="U7" s="13">
        <f t="shared" si="4"/>
        <v>750</v>
      </c>
      <c r="V7" s="59">
        <f t="shared" si="5"/>
        <v>8.5</v>
      </c>
      <c r="W7" s="12">
        <f>IF(J7="200",HLOOKUP($W$4,Fancoils!$B$12:$S$21,2,FALSE),IF(J7="300",HLOOKUP($W$4,Fancoils!$B$12:$S$21,3,FALSE),IF(J7="400",HLOOKUP($W$4,Fancoils!$B$12:$S$21,4,FALSE),IF(J7="500",HLOOKUP($W$4,Fancoils!$B$12:$S$21,5,FALSE),IF(J7="600",HLOOKUP($W$4,Fancoils!$B$12:$S$21,6,FALSE),IF(J7="800",HLOOKUP($W$4,Fancoils!$B$12:$S$21,7,FALSE),IF(J7="1000",HLOOKUP($W$4,Fancoils!$B$12:$S$21,8,FALSE),IF(J7="1200",HLOOKUP($W$4,Fancoils!$B$12:$S$21,9,FALSE),IF(J7="1400",HLOOKUP($W$4,Fancoils!$B$12:$S$21,10,FALSE))))))))))</f>
        <v>14.333333333333334</v>
      </c>
      <c r="X7" s="12">
        <f>IF(J7="200",HLOOKUP($X$4,Fancoils!$B$12:$S$21,2,FALSE),IF(J7="300",HLOOKUP($X$4,Fancoils!$B$12:$S$21,3,FALSE),IF(J7="400",HLOOKUP($X$4,Fancoils!$B$12:$S$21,4,FALSE),IF(J7="500",HLOOKUP($X$4,Fancoils!$B$12:$S$21,5,FALSE),IF(J7="600",HLOOKUP($X$4,Fancoils!$B$12:$S$21,6,FALSE),IF(J7="800",HLOOKUP($X$4,Fancoils!$B$12:$S$21,7,FALSE),IF(J7="1000",HLOOKUP($X$4,Fancoils!$B$12:$S$21,8,FALSE),IF(J7="1200",HLOOKUP($X$4,Fancoils!$B$12:$S$21,9,FALSE),IF(J7="1400",HLOOKUP($X$4,Fancoils!$B$12:$S$21,10,FALSE))))))))))</f>
        <v>10.333333333333334</v>
      </c>
      <c r="Y7" t="s">
        <v>121</v>
      </c>
      <c r="Z7" s="2">
        <f t="shared" si="6"/>
        <v>4.5</v>
      </c>
      <c r="AA7">
        <f>REPORTE!M8</f>
        <v>294</v>
      </c>
    </row>
    <row r="8" spans="2:34" outlineLevel="1" x14ac:dyDescent="0.25">
      <c r="B8" s="10">
        <v>1</v>
      </c>
      <c r="C8" s="11" t="str">
        <f>REPORTE!A9</f>
        <v xml:space="preserve">1P 04 ESTAR SAPU        </v>
      </c>
      <c r="D8" s="10" t="s">
        <v>307</v>
      </c>
      <c r="E8" s="10" t="s">
        <v>12</v>
      </c>
      <c r="F8" s="12">
        <f>REPORTE!B9</f>
        <v>2</v>
      </c>
      <c r="G8" s="12">
        <f>REPORTE!C9</f>
        <v>1.8</v>
      </c>
      <c r="H8" s="12">
        <f>REPORTE!J9</f>
        <v>0.6</v>
      </c>
      <c r="I8" s="12">
        <f t="shared" si="0"/>
        <v>576</v>
      </c>
      <c r="J8" s="12" t="str">
        <f t="shared" ref="J8:J35" si="7">+IF(G8&lt;1.38,"200",IF(AND(1.39&lt;G8,G8&lt;1.86),"300",IF(AND(1.87&lt;G8,G8&lt;2.48),"400",IF(AND(2.49&lt;G8,G8&lt;2.96),"500",IF(AND(2.97&lt;G8,G8&lt;3.44),"600",IF(AND(3.45&lt;G8,G8&lt;4.68),"800",IF(AND(4.69&lt;G8,G8&lt;5.37),"1000",IF(AND(5.38&lt;G8,G8&lt;7.02),"1200",IF(AND(7.1&lt;G8,G8&gt;7.92),"1400",)))))))))</f>
        <v>300</v>
      </c>
      <c r="K8" s="10">
        <f>IF(J8="200",HLOOKUP($K$4,Fancoils!$B$12:$I$21,2,FALSE),IF(J8="300",HLOOKUP($K$4,Fancoils!$B$12:$I$21,3,FALSE),IF(J8="400",HLOOKUP($K$4,Fancoils!$B$12:$I$21,4,FALSE),IF(J8="500",HLOOKUP($K$4,Fancoils!$B$12:$I$21,5,FALSE),IF(J8="600",HLOOKUP($K$4,Fancoils!$B$12:$I$21,6,FALSE),IF(J8="800",HLOOKUP($K$4,Fancoils!$B$12:$I$21,7,FALSE),IF(J8="1000",HLOOKUP($K$4,Fancoils!$B$12:$I$21,8,FALSE),IF(J8="1200",HLOOKUP($K$4,Fancoils!$B$12:$I$21,9,FALSE),IF(J8="1400",HLOOKUP($K$4,Fancoils!$B$12:$I$21,10,FALSE))))))))))</f>
        <v>2.7</v>
      </c>
      <c r="L8" s="10">
        <f>IF(J8="200",HLOOKUP($L$4,Fancoils!$B$12:$I$21,2,FALSE),IF(J8="300",HLOOKUP($L$4,Fancoils!$B$12:$I$21,3,FALSE),IF(J8="400",HLOOKUP($L$4,Fancoils!$B$12:$I$21,4,FALSE),IF(J8="500",HLOOKUP($L$4,Fancoils!$B$12:$I$21,5,FALSE),IF(J8="600",HLOOKUP($L$4,Fancoils!$B$12:$I$21,6,FALSE),IF(J8="800",HLOOKUP($L$4,Fancoils!$B$12:$I$21,7,FALSE),IF(J8="1000",HLOOKUP($L$4,Fancoils!$B$12:$I$21,8,FALSE),IF(J8="1200",HLOOKUP($L$4,Fancoils!$B$12:$I$21,9,FALSE),IF(J8="1400",HLOOKUP($L$4,Fancoils!$B$12:$I$21,10,FALSE))))))))))</f>
        <v>1.86</v>
      </c>
      <c r="M8" s="10">
        <f>IF(J8="200",HLOOKUP($M$4,Fancoils!$B$12:$I$21,2,FALSE),IF(J8="300",HLOOKUP($M$4,Fancoils!$B$12:$I$21,3,FALSE),IF(J8="400",HLOOKUP($M$4,Fancoils!$B$12:$I$21,4,FALSE),IF(J8="500",HLOOKUP($M$4,Fancoils!$B$12:$I$21,5,FALSE),IF(J8="600",HLOOKUP($M$4,Fancoils!$B$12:$I$21,6,FALSE),IF(J8="800",HLOOKUP($M$4,Fancoils!$B$12:$I$21,7,FALSE),IF(J8="1000",HLOOKUP($M$4,Fancoils!$B$12:$I$21,8,FALSE),IF(J8="1200",HLOOKUP($M$4,Fancoils!$B$12:$I$21,9,FALSE),IF(J8="1400",HLOOKUP($M$4,Fancoils!$B$12:$I$21,10,FALSE))))))))))</f>
        <v>2.4</v>
      </c>
      <c r="N8" s="10">
        <f>IF(J8="200",HLOOKUP($N$4,Fancoils!$B$12:$I$21,2,FALSE),IF(J8="300",HLOOKUP($N$4,Fancoils!$B$12:$I$21,3,FALSE),IF(J8="400",HLOOKUP($N$4,Fancoils!$B$12:$I$21,4,FALSE),IF(J8="500",HLOOKUP($N$4,Fancoils!$B$12:$I$21,5,FALSE),IF(J8="600",HLOOKUP($N$4,Fancoils!$B$12:$I$21,6,FALSE),IF(J8="800",HLOOKUP($N$4,Fancoils!$B$12:$I$21,7,FALSE),IF(J8="1000",HLOOKUP($N$4,Fancoils!$B$12:$I$21,8,FALSE),IF(J8="1200",HLOOKUP($N$4,Fancoils!$B$12:$I$21,9,FALSE),IF(J8="1400",HLOOKUP($N$4,Fancoils!$B$12:$I$21,10,FALSE))))))))))</f>
        <v>510</v>
      </c>
      <c r="O8" s="36">
        <f>REPORTE!P9</f>
        <v>18</v>
      </c>
      <c r="P8" s="14">
        <f>O8*3.6</f>
        <v>64.8</v>
      </c>
      <c r="Q8" s="10">
        <f>IF(J8="200",HLOOKUP($Q$4,Fancoils!$B$12:$I$21,2,FALSE),IF(J8="300",HLOOKUP($Q$4,Fancoils!$B$12:$I$21,3,FALSE),IF(J8="400",HLOOKUP($Q$4,Fancoils!$B$12:$I$21,4,FALSE),IF(J8="500",HLOOKUP($Q$4,Fancoils!$B$12:$I$21,5,FALSE),IF(J8="600",HLOOKUP($Q$4,Fancoils!$B$12:$I$21,6,FALSE),IF(J8="800",HLOOKUP($Q$4,Fancoils!$B$12:$I$21,7,FALSE),IF(J8="1000",HLOOKUP($Q$4,Fancoils!$B$12:$I$21,8,FALSE),IF(J8="1200",HLOOKUP($Q$4,Fancoils!$B$12:$I$21,9,FALSE),IF(J8="1400",HLOOKUP($Q$4,Fancoils!$B$12:$I$21,10,FALSE))))))))))</f>
        <v>50</v>
      </c>
      <c r="R8" s="10" t="s">
        <v>18</v>
      </c>
      <c r="S8" s="10">
        <v>2</v>
      </c>
      <c r="T8" s="22">
        <f>N8/S8</f>
        <v>255</v>
      </c>
      <c r="U8" s="13">
        <f>N8-P8</f>
        <v>445.2</v>
      </c>
      <c r="V8" s="59">
        <f t="shared" si="5"/>
        <v>4.25</v>
      </c>
      <c r="W8" s="12">
        <f>IF(J8="200",HLOOKUP($W$4,Fancoils!$B$12:$S$21,2,FALSE),IF(J8="300",HLOOKUP($W$4,Fancoils!$B$12:$S$21,3,FALSE),IF(J8="400",HLOOKUP($W$4,Fancoils!$B$12:$S$21,4,FALSE),IF(J8="500",HLOOKUP($W$4,Fancoils!$B$12:$S$21,5,FALSE),IF(J8="600",HLOOKUP($W$4,Fancoils!$B$12:$S$21,6,FALSE),IF(J8="800",HLOOKUP($W$4,Fancoils!$B$12:$S$21,7,FALSE),IF(J8="1000",HLOOKUP($W$4,Fancoils!$B$12:$S$21,8,FALSE),IF(J8="1200",HLOOKUP($W$4,Fancoils!$B$12:$S$21,9,FALSE),IF(J8="1400",HLOOKUP($W$4,Fancoils!$B$12:$S$21,10,FALSE))))))))))</f>
        <v>7.7333333333333334</v>
      </c>
      <c r="X8" s="12">
        <f>IF(J8="200",HLOOKUP($X$4,Fancoils!$B$12:$S$21,2,FALSE),IF(J8="300",HLOOKUP($X$4,Fancoils!$B$12:$S$21,3,FALSE),IF(J8="400",HLOOKUP($X$4,Fancoils!$B$12:$S$21,4,FALSE),IF(J8="500",HLOOKUP($X$4,Fancoils!$B$12:$S$21,5,FALSE),IF(J8="600",HLOOKUP($X$4,Fancoils!$B$12:$S$21,6,FALSE),IF(J8="800",HLOOKUP($X$4,Fancoils!$B$12:$S$21,7,FALSE),IF(J8="1000",HLOOKUP($X$4,Fancoils!$B$12:$S$21,8,FALSE),IF(J8="1200",HLOOKUP($X$4,Fancoils!$B$12:$S$21,9,FALSE),IF(J8="1400",HLOOKUP($X$4,Fancoils!$B$12:$S$21,10,FALSE))))))))))</f>
        <v>5.666666666666667</v>
      </c>
      <c r="Y8" t="s">
        <v>357</v>
      </c>
      <c r="Z8" s="2">
        <f t="shared" si="6"/>
        <v>1.0799999999999998</v>
      </c>
      <c r="AA8">
        <f>REPORTE!M9</f>
        <v>160</v>
      </c>
      <c r="AB8" t="s">
        <v>374</v>
      </c>
      <c r="AC8">
        <f>AB5+AB12</f>
        <v>101.60400000000001</v>
      </c>
      <c r="AD8" t="s">
        <v>100</v>
      </c>
      <c r="AF8" t="s">
        <v>385</v>
      </c>
      <c r="AG8">
        <f>AC8+AC36+AC70</f>
        <v>641.29200000000003</v>
      </c>
      <c r="AH8">
        <f>AG8*60</f>
        <v>38477.520000000004</v>
      </c>
    </row>
    <row r="9" spans="2:34" outlineLevel="1" x14ac:dyDescent="0.25">
      <c r="B9" s="10">
        <v>1</v>
      </c>
      <c r="C9" s="11" t="str">
        <f>REPORTE!A10</f>
        <v xml:space="preserve">1P 07 JEFE SOME         </v>
      </c>
      <c r="D9" s="10" t="s">
        <v>308</v>
      </c>
      <c r="E9" s="10" t="s">
        <v>12</v>
      </c>
      <c r="F9" s="12">
        <f>REPORTE!B10</f>
        <v>0.4</v>
      </c>
      <c r="G9" s="12">
        <f>REPORTE!C10</f>
        <v>0.4</v>
      </c>
      <c r="H9" s="12">
        <f>REPORTE!J10</f>
        <v>0.3</v>
      </c>
      <c r="I9" s="12">
        <f t="shared" si="0"/>
        <v>108</v>
      </c>
      <c r="J9" s="12" t="str">
        <f t="shared" si="7"/>
        <v>200</v>
      </c>
      <c r="K9" s="10">
        <f>IF(J9="200",HLOOKUP($K$4,Fancoils!$B$12:$I$21,2,FALSE),IF(J9="300",HLOOKUP($K$4,Fancoils!$B$12:$I$21,3,FALSE),IF(J9="400",HLOOKUP($K$4,Fancoils!$B$12:$I$21,4,FALSE),IF(J9="500",HLOOKUP($K$4,Fancoils!$B$12:$I$21,5,FALSE),IF(J9="600",HLOOKUP($K$4,Fancoils!$B$12:$I$21,6,FALSE),IF(J9="800",HLOOKUP($K$4,Fancoils!$B$12:$I$21,7,FALSE),IF(J9="1000",HLOOKUP($K$4,Fancoils!$B$12:$I$21,8,FALSE),IF(J9="1200",HLOOKUP($K$4,Fancoils!$B$12:$I$21,9,FALSE),IF(J9="1400",HLOOKUP($K$4,Fancoils!$B$12:$I$21,10,FALSE))))))))))</f>
        <v>2</v>
      </c>
      <c r="L9" s="10">
        <f>IF(J9="200",HLOOKUP($L$4,Fancoils!$B$12:$I$21,2,FALSE),IF(J9="300",HLOOKUP($L$4,Fancoils!$B$12:$I$21,3,FALSE),IF(J9="400",HLOOKUP($L$4,Fancoils!$B$12:$I$21,4,FALSE),IF(J9="500",HLOOKUP($L$4,Fancoils!$B$12:$I$21,5,FALSE),IF(J9="600",HLOOKUP($L$4,Fancoils!$B$12:$I$21,6,FALSE),IF(J9="800",HLOOKUP($L$4,Fancoils!$B$12:$I$21,7,FALSE),IF(J9="1000",HLOOKUP($L$4,Fancoils!$B$12:$I$21,8,FALSE),IF(J9="1200",HLOOKUP($L$4,Fancoils!$B$12:$I$21,9,FALSE),IF(J9="1400",HLOOKUP($L$4,Fancoils!$B$12:$I$21,10,FALSE))))))))))</f>
        <v>1.38</v>
      </c>
      <c r="M9" s="10">
        <f>IF(J9="200",HLOOKUP($M$4,Fancoils!$B$12:$I$21,2,FALSE),IF(J9="300",HLOOKUP($M$4,Fancoils!$B$12:$I$21,3,FALSE),IF(J9="400",HLOOKUP($M$4,Fancoils!$B$12:$I$21,4,FALSE),IF(J9="500",HLOOKUP($M$4,Fancoils!$B$12:$I$21,5,FALSE),IF(J9="600",HLOOKUP($M$4,Fancoils!$B$12:$I$21,6,FALSE),IF(J9="800",HLOOKUP($M$4,Fancoils!$B$12:$I$21,7,FALSE),IF(J9="1000",HLOOKUP($M$4,Fancoils!$B$12:$I$21,8,FALSE),IF(J9="1200",HLOOKUP($M$4,Fancoils!$B$12:$I$21,9,FALSE),IF(J9="1400",HLOOKUP($M$4,Fancoils!$B$12:$I$21,10,FALSE))))))))))</f>
        <v>1.8</v>
      </c>
      <c r="N9" s="10">
        <f>IF(J9="200",HLOOKUP($N$4,Fancoils!$B$12:$I$21,2,FALSE),IF(J9="300",HLOOKUP($N$4,Fancoils!$B$12:$I$21,3,FALSE),IF(J9="400",HLOOKUP($N$4,Fancoils!$B$12:$I$21,4,FALSE),IF(J9="500",HLOOKUP($N$4,Fancoils!$B$12:$I$21,5,FALSE),IF(J9="600",HLOOKUP($N$4,Fancoils!$B$12:$I$21,6,FALSE),IF(J9="800",HLOOKUP($N$4,Fancoils!$B$12:$I$21,7,FALSE),IF(J9="1000",HLOOKUP($N$4,Fancoils!$B$12:$I$21,8,FALSE),IF(J9="1200",HLOOKUP($N$4,Fancoils!$B$12:$I$21,9,FALSE),IF(J9="1400",HLOOKUP($N$4,Fancoils!$B$12:$I$21,10,FALSE))))))))))</f>
        <v>340</v>
      </c>
      <c r="O9" s="36">
        <f>REPORTE!P10</f>
        <v>7</v>
      </c>
      <c r="P9" s="14">
        <f t="shared" ref="P9:P55" si="8">O9*3.6</f>
        <v>25.2</v>
      </c>
      <c r="Q9" s="10">
        <f>IF(J9="200",HLOOKUP($Q$4,Fancoils!$B$12:$I$21,2,FALSE),IF(J9="300",HLOOKUP($Q$4,Fancoils!$B$12:$I$21,3,FALSE),IF(J9="400",HLOOKUP($Q$4,Fancoils!$B$12:$I$21,4,FALSE),IF(J9="500",HLOOKUP($Q$4,Fancoils!$B$12:$I$21,5,FALSE),IF(J9="600",HLOOKUP($Q$4,Fancoils!$B$12:$I$21,6,FALSE),IF(J9="800",HLOOKUP($Q$4,Fancoils!$B$12:$I$21,7,FALSE),IF(J9="1000",HLOOKUP($Q$4,Fancoils!$B$12:$I$21,8,FALSE),IF(J9="1200",HLOOKUP($Q$4,Fancoils!$B$12:$I$21,9,FALSE),IF(J9="1400",HLOOKUP($Q$4,Fancoils!$B$12:$I$21,10,FALSE))))))))))</f>
        <v>50</v>
      </c>
      <c r="R9" s="10" t="s">
        <v>18</v>
      </c>
      <c r="S9" s="10">
        <v>2</v>
      </c>
      <c r="T9" s="22">
        <f t="shared" ref="T9:T55" si="9">N9/S9</f>
        <v>170</v>
      </c>
      <c r="U9" s="13">
        <f t="shared" ref="U9:U55" si="10">N9-P9</f>
        <v>314.8</v>
      </c>
      <c r="V9" s="59">
        <f t="shared" si="5"/>
        <v>2.8333333333333335</v>
      </c>
      <c r="W9" s="12">
        <f>IF(J9="200",HLOOKUP($W$4,Fancoils!$B$12:$S$21,2,FALSE),IF(J9="300",HLOOKUP($W$4,Fancoils!$B$12:$S$21,3,FALSE),IF(J9="400",HLOOKUP($W$4,Fancoils!$B$12:$S$21,4,FALSE),IF(J9="500",HLOOKUP($W$4,Fancoils!$B$12:$S$21,5,FALSE),IF(J9="600",HLOOKUP($W$4,Fancoils!$B$12:$S$21,6,FALSE),IF(J9="800",HLOOKUP($W$4,Fancoils!$B$12:$S$21,7,FALSE),IF(J9="1000",HLOOKUP($W$4,Fancoils!$B$12:$S$21,8,FALSE),IF(J9="1200",HLOOKUP($W$4,Fancoils!$B$12:$S$21,9,FALSE),IF(J9="1400",HLOOKUP($W$4,Fancoils!$B$12:$S$21,10,FALSE))))))))))</f>
        <v>5.7333333333333334</v>
      </c>
      <c r="X9" s="12">
        <f>IF(J9="200",HLOOKUP($X$4,Fancoils!$B$12:$S$21,2,FALSE),IF(J9="300",HLOOKUP($X$4,Fancoils!$B$12:$S$21,3,FALSE),IF(J9="400",HLOOKUP($X$4,Fancoils!$B$12:$S$21,4,FALSE),IF(J9="500",HLOOKUP($X$4,Fancoils!$B$12:$S$21,5,FALSE),IF(J9="600",HLOOKUP($X$4,Fancoils!$B$12:$S$21,6,FALSE),IF(J9="800",HLOOKUP($X$4,Fancoils!$B$12:$S$21,7,FALSE),IF(J9="1000",HLOOKUP($X$4,Fancoils!$B$12:$S$21,8,FALSE),IF(J9="1200",HLOOKUP($X$4,Fancoils!$B$12:$S$21,9,FALSE),IF(J9="1400",HLOOKUP($X$4,Fancoils!$B$12:$S$21,10,FALSE))))))))))</f>
        <v>4.333333333333333</v>
      </c>
      <c r="Y9" t="s">
        <v>357</v>
      </c>
      <c r="Z9" s="2">
        <f t="shared" si="6"/>
        <v>0.42</v>
      </c>
      <c r="AA9">
        <f>REPORTE!M10</f>
        <v>30</v>
      </c>
    </row>
    <row r="10" spans="2:34" outlineLevel="1" x14ac:dyDescent="0.25">
      <c r="B10" s="10">
        <v>1</v>
      </c>
      <c r="C10" s="11" t="str">
        <f>REPORTE!A11</f>
        <v xml:space="preserve">1P 08 BOX VACUNATIO     </v>
      </c>
      <c r="D10" s="10" t="s">
        <v>309</v>
      </c>
      <c r="E10" s="10" t="s">
        <v>12</v>
      </c>
      <c r="F10" s="12">
        <f>REPORTE!B11</f>
        <v>0.5</v>
      </c>
      <c r="G10" s="12">
        <f>REPORTE!C11</f>
        <v>0.5</v>
      </c>
      <c r="H10" s="12">
        <f>REPORTE!J11</f>
        <v>0.9</v>
      </c>
      <c r="I10" s="12">
        <f t="shared" si="0"/>
        <v>147.6</v>
      </c>
      <c r="J10" s="12" t="str">
        <f t="shared" si="7"/>
        <v>200</v>
      </c>
      <c r="K10" s="10">
        <f>IF(J10="200",HLOOKUP($K$4,Fancoils!$B$12:$I$21,2,FALSE),IF(J10="300",HLOOKUP($K$4,Fancoils!$B$12:$I$21,3,FALSE),IF(J10="400",HLOOKUP($K$4,Fancoils!$B$12:$I$21,4,FALSE),IF(J10="500",HLOOKUP($K$4,Fancoils!$B$12:$I$21,5,FALSE),IF(J10="600",HLOOKUP($K$4,Fancoils!$B$12:$I$21,6,FALSE),IF(J10="800",HLOOKUP($K$4,Fancoils!$B$12:$I$21,7,FALSE),IF(J10="1000",HLOOKUP($K$4,Fancoils!$B$12:$I$21,8,FALSE),IF(J10="1200",HLOOKUP($K$4,Fancoils!$B$12:$I$21,9,FALSE),IF(J10="1400",HLOOKUP($K$4,Fancoils!$B$12:$I$21,10,FALSE))))))))))</f>
        <v>2</v>
      </c>
      <c r="L10" s="10">
        <f>IF(J10="200",HLOOKUP($L$4,Fancoils!$B$12:$I$21,2,FALSE),IF(J10="300",HLOOKUP($L$4,Fancoils!$B$12:$I$21,3,FALSE),IF(J10="400",HLOOKUP($L$4,Fancoils!$B$12:$I$21,4,FALSE),IF(J10="500",HLOOKUP($L$4,Fancoils!$B$12:$I$21,5,FALSE),IF(J10="600",HLOOKUP($L$4,Fancoils!$B$12:$I$21,6,FALSE),IF(J10="800",HLOOKUP($L$4,Fancoils!$B$12:$I$21,7,FALSE),IF(J10="1000",HLOOKUP($L$4,Fancoils!$B$12:$I$21,8,FALSE),IF(J10="1200",HLOOKUP($L$4,Fancoils!$B$12:$I$21,9,FALSE),IF(J10="1400",HLOOKUP($L$4,Fancoils!$B$12:$I$21,10,FALSE))))))))))</f>
        <v>1.38</v>
      </c>
      <c r="M10" s="10">
        <f>IF(J10="200",HLOOKUP($M$4,Fancoils!$B$12:$I$21,2,FALSE),IF(J10="300",HLOOKUP($M$4,Fancoils!$B$12:$I$21,3,FALSE),IF(J10="400",HLOOKUP($M$4,Fancoils!$B$12:$I$21,4,FALSE),IF(J10="500",HLOOKUP($M$4,Fancoils!$B$12:$I$21,5,FALSE),IF(J10="600",HLOOKUP($M$4,Fancoils!$B$12:$I$21,6,FALSE),IF(J10="800",HLOOKUP($M$4,Fancoils!$B$12:$I$21,7,FALSE),IF(J10="1000",HLOOKUP($M$4,Fancoils!$B$12:$I$21,8,FALSE),IF(J10="1200",HLOOKUP($M$4,Fancoils!$B$12:$I$21,9,FALSE),IF(J10="1400",HLOOKUP($M$4,Fancoils!$B$12:$I$21,10,FALSE))))))))))</f>
        <v>1.8</v>
      </c>
      <c r="N10" s="10">
        <f>IF(J10="200",HLOOKUP($N$4,Fancoils!$B$12:$I$21,2,FALSE),IF(J10="300",HLOOKUP($N$4,Fancoils!$B$12:$I$21,3,FALSE),IF(J10="400",HLOOKUP($N$4,Fancoils!$B$12:$I$21,4,FALSE),IF(J10="500",HLOOKUP($N$4,Fancoils!$B$12:$I$21,5,FALSE),IF(J10="600",HLOOKUP($N$4,Fancoils!$B$12:$I$21,6,FALSE),IF(J10="800",HLOOKUP($N$4,Fancoils!$B$12:$I$21,7,FALSE),IF(J10="1000",HLOOKUP($N$4,Fancoils!$B$12:$I$21,8,FALSE),IF(J10="1200",HLOOKUP($N$4,Fancoils!$B$12:$I$21,9,FALSE),IF(J10="1400",HLOOKUP($N$4,Fancoils!$B$12:$I$21,10,FALSE))))))))))</f>
        <v>340</v>
      </c>
      <c r="O10" s="36">
        <f>REPORTE!P11</f>
        <v>38</v>
      </c>
      <c r="P10" s="14">
        <f t="shared" si="8"/>
        <v>136.80000000000001</v>
      </c>
      <c r="Q10" s="10">
        <f>IF(J10="200",HLOOKUP($Q$4,Fancoils!$B$12:$I$21,2,FALSE),IF(J10="300",HLOOKUP($Q$4,Fancoils!$B$12:$I$21,3,FALSE),IF(J10="400",HLOOKUP($Q$4,Fancoils!$B$12:$I$21,4,FALSE),IF(J10="500",HLOOKUP($Q$4,Fancoils!$B$12:$I$21,5,FALSE),IF(J10="600",HLOOKUP($Q$4,Fancoils!$B$12:$I$21,6,FALSE),IF(J10="800",HLOOKUP($Q$4,Fancoils!$B$12:$I$21,7,FALSE),IF(J10="1000",HLOOKUP($Q$4,Fancoils!$B$12:$I$21,8,FALSE),IF(J10="1200",HLOOKUP($Q$4,Fancoils!$B$12:$I$21,9,FALSE),IF(J10="1400",HLOOKUP($Q$4,Fancoils!$B$12:$I$21,10,FALSE))))))))))</f>
        <v>50</v>
      </c>
      <c r="R10" s="10" t="s">
        <v>18</v>
      </c>
      <c r="S10" s="10">
        <v>2</v>
      </c>
      <c r="T10" s="22">
        <f t="shared" si="9"/>
        <v>170</v>
      </c>
      <c r="U10" s="13">
        <f t="shared" si="10"/>
        <v>203.2</v>
      </c>
      <c r="V10" s="59">
        <f t="shared" si="5"/>
        <v>2.8333333333333335</v>
      </c>
      <c r="W10" s="12">
        <f>IF(J10="200",HLOOKUP($W$4,Fancoils!$B$12:$S$21,2,FALSE),IF(J10="300",HLOOKUP($W$4,Fancoils!$B$12:$S$21,3,FALSE),IF(J10="400",HLOOKUP($W$4,Fancoils!$B$12:$S$21,4,FALSE),IF(J10="500",HLOOKUP($W$4,Fancoils!$B$12:$S$21,5,FALSE),IF(J10="600",HLOOKUP($W$4,Fancoils!$B$12:$S$21,6,FALSE),IF(J10="800",HLOOKUP($W$4,Fancoils!$B$12:$S$21,7,FALSE),IF(J10="1000",HLOOKUP($W$4,Fancoils!$B$12:$S$21,8,FALSE),IF(J10="1200",HLOOKUP($W$4,Fancoils!$B$12:$S$21,9,FALSE),IF(J10="1400",HLOOKUP($W$4,Fancoils!$B$12:$S$21,10,FALSE))))))))))</f>
        <v>5.7333333333333334</v>
      </c>
      <c r="X10" s="12">
        <f>IF(J10="200",HLOOKUP($X$4,Fancoils!$B$12:$S$21,2,FALSE),IF(J10="300",HLOOKUP($X$4,Fancoils!$B$12:$S$21,3,FALSE),IF(J10="400",HLOOKUP($X$4,Fancoils!$B$12:$S$21,4,FALSE),IF(J10="500",HLOOKUP($X$4,Fancoils!$B$12:$S$21,5,FALSE),IF(J10="600",HLOOKUP($X$4,Fancoils!$B$12:$S$21,6,FALSE),IF(J10="800",HLOOKUP($X$4,Fancoils!$B$12:$S$21,7,FALSE),IF(J10="1000",HLOOKUP($X$4,Fancoils!$B$12:$S$21,8,FALSE),IF(J10="1200",HLOOKUP($X$4,Fancoils!$B$12:$S$21,9,FALSE),IF(J10="1400",HLOOKUP($X$4,Fancoils!$B$12:$S$21,10,FALSE))))))))))</f>
        <v>4.333333333333333</v>
      </c>
      <c r="Y10" t="s">
        <v>357</v>
      </c>
      <c r="Z10" s="2">
        <f t="shared" si="6"/>
        <v>2.2800000000000002</v>
      </c>
      <c r="AA10">
        <f>REPORTE!M11</f>
        <v>41</v>
      </c>
      <c r="AF10" t="s">
        <v>386</v>
      </c>
      <c r="AG10">
        <f>AC23+AC52+AC82</f>
        <v>285.21000000000004</v>
      </c>
      <c r="AH10">
        <f>AG10*60</f>
        <v>17112.600000000002</v>
      </c>
    </row>
    <row r="11" spans="2:34" outlineLevel="1" x14ac:dyDescent="0.25">
      <c r="B11" s="10">
        <v>1</v>
      </c>
      <c r="C11" s="11" t="str">
        <f>REPORTE!A12</f>
        <v>1P 09 SOME PROCEDIMIENTO</v>
      </c>
      <c r="D11" s="10" t="s">
        <v>310</v>
      </c>
      <c r="E11" s="10" t="s">
        <v>12</v>
      </c>
      <c r="F11" s="12">
        <f>REPORTE!B12</f>
        <v>0.6</v>
      </c>
      <c r="G11" s="12">
        <f>REPORTE!C12</f>
        <v>0.5</v>
      </c>
      <c r="H11" s="12">
        <f>REPORTE!J12</f>
        <v>0.3</v>
      </c>
      <c r="I11" s="12">
        <f t="shared" si="0"/>
        <v>151.20000000000002</v>
      </c>
      <c r="J11" s="12" t="str">
        <f t="shared" ref="J11" si="11">+IF(G11&lt;1.38,"200",IF(AND(1.39&lt;G11,G11&lt;1.86),"300",IF(AND(1.87&lt;G11,G11&lt;2.48),"400",IF(AND(2.49&lt;G11,G11&lt;2.96),"500",IF(AND(2.97&lt;G11,G11&lt;3.44),"600",IF(AND(3.45&lt;G11,G11&lt;4.68),"800",IF(AND(4.69&lt;G11,G11&lt;5.37),"1000",IF(AND(5.38&lt;G11,G11&lt;7.02),"1200",IF(AND(7.1&lt;G11,G11&gt;7.92),"1400",)))))))))</f>
        <v>200</v>
      </c>
      <c r="K11" s="10">
        <f>IF(J11="200",HLOOKUP($K$4,Fancoils!$B$12:$I$21,2,FALSE),IF(J11="300",HLOOKUP($K$4,Fancoils!$B$12:$I$21,3,FALSE),IF(J11="400",HLOOKUP($K$4,Fancoils!$B$12:$I$21,4,FALSE),IF(J11="500",HLOOKUP($K$4,Fancoils!$B$12:$I$21,5,FALSE),IF(J11="600",HLOOKUP($K$4,Fancoils!$B$12:$I$21,6,FALSE),IF(J11="800",HLOOKUP($K$4,Fancoils!$B$12:$I$21,7,FALSE),IF(J11="1000",HLOOKUP($K$4,Fancoils!$B$12:$I$21,8,FALSE),IF(J11="1200",HLOOKUP($K$4,Fancoils!$B$12:$I$21,9,FALSE),IF(J11="1400",HLOOKUP($K$4,Fancoils!$B$12:$I$21,10,FALSE))))))))))</f>
        <v>2</v>
      </c>
      <c r="L11" s="10">
        <f>IF(J11="200",HLOOKUP($L$4,Fancoils!$B$12:$I$21,2,FALSE),IF(J11="300",HLOOKUP($L$4,Fancoils!$B$12:$I$21,3,FALSE),IF(J11="400",HLOOKUP($L$4,Fancoils!$B$12:$I$21,4,FALSE),IF(J11="500",HLOOKUP($L$4,Fancoils!$B$12:$I$21,5,FALSE),IF(J11="600",HLOOKUP($L$4,Fancoils!$B$12:$I$21,6,FALSE),IF(J11="800",HLOOKUP($L$4,Fancoils!$B$12:$I$21,7,FALSE),IF(J11="1000",HLOOKUP($L$4,Fancoils!$B$12:$I$21,8,FALSE),IF(J11="1200",HLOOKUP($L$4,Fancoils!$B$12:$I$21,9,FALSE),IF(J11="1400",HLOOKUP($L$4,Fancoils!$B$12:$I$21,10,FALSE))))))))))</f>
        <v>1.38</v>
      </c>
      <c r="M11" s="10">
        <f>IF(J11="200",HLOOKUP($M$4,Fancoils!$B$12:$I$21,2,FALSE),IF(J11="300",HLOOKUP($M$4,Fancoils!$B$12:$I$21,3,FALSE),IF(J11="400",HLOOKUP($M$4,Fancoils!$B$12:$I$21,4,FALSE),IF(J11="500",HLOOKUP($M$4,Fancoils!$B$12:$I$21,5,FALSE),IF(J11="600",HLOOKUP($M$4,Fancoils!$B$12:$I$21,6,FALSE),IF(J11="800",HLOOKUP($M$4,Fancoils!$B$12:$I$21,7,FALSE),IF(J11="1000",HLOOKUP($M$4,Fancoils!$B$12:$I$21,8,FALSE),IF(J11="1200",HLOOKUP($M$4,Fancoils!$B$12:$I$21,9,FALSE),IF(J11="1400",HLOOKUP($M$4,Fancoils!$B$12:$I$21,10,FALSE))))))))))</f>
        <v>1.8</v>
      </c>
      <c r="N11" s="10">
        <f>IF(J11="200",HLOOKUP($N$4,Fancoils!$B$12:$I$21,2,FALSE),IF(J11="300",HLOOKUP($N$4,Fancoils!$B$12:$I$21,3,FALSE),IF(J11="400",HLOOKUP($N$4,Fancoils!$B$12:$I$21,4,FALSE),IF(J11="500",HLOOKUP($N$4,Fancoils!$B$12:$I$21,5,FALSE),IF(J11="600",HLOOKUP($N$4,Fancoils!$B$12:$I$21,6,FALSE),IF(J11="800",HLOOKUP($N$4,Fancoils!$B$12:$I$21,7,FALSE),IF(J11="1000",HLOOKUP($N$4,Fancoils!$B$12:$I$21,8,FALSE),IF(J11="1200",HLOOKUP($N$4,Fancoils!$B$12:$I$21,9,FALSE),IF(J11="1400",HLOOKUP($N$4,Fancoils!$B$12:$I$21,10,FALSE))))))))))</f>
        <v>340</v>
      </c>
      <c r="O11" s="36">
        <f>REPORTE!P12</f>
        <v>11</v>
      </c>
      <c r="P11" s="14">
        <f t="shared" ref="P11" si="12">O11*3.6</f>
        <v>39.6</v>
      </c>
      <c r="Q11" s="10">
        <f>IF(J11="200",HLOOKUP($Q$4,Fancoils!$B$12:$I$21,2,FALSE),IF(J11="300",HLOOKUP($Q$4,Fancoils!$B$12:$I$21,3,FALSE),IF(J11="400",HLOOKUP($Q$4,Fancoils!$B$12:$I$21,4,FALSE),IF(J11="500",HLOOKUP($Q$4,Fancoils!$B$12:$I$21,5,FALSE),IF(J11="600",HLOOKUP($Q$4,Fancoils!$B$12:$I$21,6,FALSE),IF(J11="800",HLOOKUP($Q$4,Fancoils!$B$12:$I$21,7,FALSE),IF(J11="1000",HLOOKUP($Q$4,Fancoils!$B$12:$I$21,8,FALSE),IF(J11="1200",HLOOKUP($Q$4,Fancoils!$B$12:$I$21,9,FALSE),IF(J11="1400",HLOOKUP($Q$4,Fancoils!$B$12:$I$21,10,FALSE))))))))))</f>
        <v>50</v>
      </c>
      <c r="R11" s="10" t="s">
        <v>48</v>
      </c>
      <c r="S11" s="10">
        <v>2</v>
      </c>
      <c r="T11" s="22">
        <f t="shared" ref="T11" si="13">N11/S11</f>
        <v>170</v>
      </c>
      <c r="U11" s="13">
        <f t="shared" ref="U11" si="14">N11-P11</f>
        <v>300.39999999999998</v>
      </c>
      <c r="V11" s="59">
        <f t="shared" si="5"/>
        <v>2.8333333333333335</v>
      </c>
      <c r="W11" s="12">
        <f>IF(J11="200",HLOOKUP($W$4,Fancoils!$B$12:$S$21,2,FALSE),IF(J11="300",HLOOKUP($W$4,Fancoils!$B$12:$S$21,3,FALSE),IF(J11="400",HLOOKUP($W$4,Fancoils!$B$12:$S$21,4,FALSE),IF(J11="500",HLOOKUP($W$4,Fancoils!$B$12:$S$21,5,FALSE),IF(J11="600",HLOOKUP($W$4,Fancoils!$B$12:$S$21,6,FALSE),IF(J11="800",HLOOKUP($W$4,Fancoils!$B$12:$S$21,7,FALSE),IF(J11="1000",HLOOKUP($W$4,Fancoils!$B$12:$S$21,8,FALSE),IF(J11="1200",HLOOKUP($W$4,Fancoils!$B$12:$S$21,9,FALSE),IF(J11="1400",HLOOKUP($W$4,Fancoils!$B$12:$S$21,10,FALSE))))))))))</f>
        <v>5.7333333333333334</v>
      </c>
      <c r="X11" s="12">
        <f>IF(J11="200",HLOOKUP($X$4,Fancoils!$B$12:$S$21,2,FALSE),IF(J11="300",HLOOKUP($X$4,Fancoils!$B$12:$S$21,3,FALSE),IF(J11="400",HLOOKUP($X$4,Fancoils!$B$12:$S$21,4,FALSE),IF(J11="500",HLOOKUP($X$4,Fancoils!$B$12:$S$21,5,FALSE),IF(J11="600",HLOOKUP($X$4,Fancoils!$B$12:$S$21,6,FALSE),IF(J11="800",HLOOKUP($X$4,Fancoils!$B$12:$S$21,7,FALSE),IF(J11="1000",HLOOKUP($X$4,Fancoils!$B$12:$S$21,8,FALSE),IF(J11="1200",HLOOKUP($X$4,Fancoils!$B$12:$S$21,9,FALSE),IF(J11="1400",HLOOKUP($X$4,Fancoils!$B$12:$S$21,10,FALSE))))))))))</f>
        <v>4.333333333333333</v>
      </c>
      <c r="Y11" t="s">
        <v>357</v>
      </c>
      <c r="Z11" s="2">
        <f t="shared" ref="Z11" si="15">P11/60</f>
        <v>0.66</v>
      </c>
      <c r="AA11">
        <f>REPORTE!M12</f>
        <v>42</v>
      </c>
    </row>
    <row r="12" spans="2:34" outlineLevel="1" x14ac:dyDescent="0.25">
      <c r="B12" s="10">
        <v>1</v>
      </c>
      <c r="C12" s="11" t="str">
        <f>REPORTE!A13</f>
        <v>1P 10 BOX ATENCION URGEN</v>
      </c>
      <c r="D12" s="10" t="s">
        <v>311</v>
      </c>
      <c r="E12" s="10" t="s">
        <v>12</v>
      </c>
      <c r="F12" s="12">
        <f>REPORTE!B13</f>
        <v>2.2000000000000002</v>
      </c>
      <c r="G12" s="12">
        <f>REPORTE!C13</f>
        <v>2.2000000000000002</v>
      </c>
      <c r="H12" s="12">
        <f>REPORTE!J13</f>
        <v>1.5</v>
      </c>
      <c r="I12" s="12">
        <f t="shared" si="0"/>
        <v>766.80000000000007</v>
      </c>
      <c r="J12" s="12" t="str">
        <f t="shared" si="7"/>
        <v>400</v>
      </c>
      <c r="K12" s="10">
        <f>IF(J12="200",HLOOKUP($K$4,Fancoils!$B$12:$I$21,2,FALSE),IF(J12="300",HLOOKUP($K$4,Fancoils!$B$12:$I$21,3,FALSE),IF(J12="400",HLOOKUP($K$4,Fancoils!$B$12:$I$21,4,FALSE),IF(J12="500",HLOOKUP($K$4,Fancoils!$B$12:$I$21,5,FALSE),IF(J12="600",HLOOKUP($K$4,Fancoils!$B$12:$I$21,6,FALSE),IF(J12="800",HLOOKUP($K$4,Fancoils!$B$12:$I$21,7,FALSE),IF(J12="1000",HLOOKUP($K$4,Fancoils!$B$12:$I$21,8,FALSE),IF(J12="1200",HLOOKUP($K$4,Fancoils!$B$12:$I$21,9,FALSE),IF(J12="1400",HLOOKUP($K$4,Fancoils!$B$12:$I$21,10,FALSE))))))))))</f>
        <v>3.6</v>
      </c>
      <c r="L12" s="10">
        <f>IF(J12="200",HLOOKUP($L$4,Fancoils!$B$12:$I$21,2,FALSE),IF(J12="300",HLOOKUP($L$4,Fancoils!$B$12:$I$21,3,FALSE),IF(J12="400",HLOOKUP($L$4,Fancoils!$B$12:$I$21,4,FALSE),IF(J12="500",HLOOKUP($L$4,Fancoils!$B$12:$I$21,5,FALSE),IF(J12="600",HLOOKUP($L$4,Fancoils!$B$12:$I$21,6,FALSE),IF(J12="800",HLOOKUP($L$4,Fancoils!$B$12:$I$21,7,FALSE),IF(J12="1000",HLOOKUP($L$4,Fancoils!$B$12:$I$21,8,FALSE),IF(J12="1200",HLOOKUP($L$4,Fancoils!$B$12:$I$21,9,FALSE),IF(J12="1400",HLOOKUP($L$4,Fancoils!$B$12:$I$21,10,FALSE))))))))))</f>
        <v>2.48</v>
      </c>
      <c r="M12" s="10">
        <f>IF(J12="200",HLOOKUP($M$4,Fancoils!$B$12:$I$21,2,FALSE),IF(J12="300",HLOOKUP($M$4,Fancoils!$B$12:$I$21,3,FALSE),IF(J12="400",HLOOKUP($M$4,Fancoils!$B$12:$I$21,4,FALSE),IF(J12="500",HLOOKUP($M$4,Fancoils!$B$12:$I$21,5,FALSE),IF(J12="600",HLOOKUP($M$4,Fancoils!$B$12:$I$21,6,FALSE),IF(J12="800",HLOOKUP($M$4,Fancoils!$B$12:$I$21,7,FALSE),IF(J12="1000",HLOOKUP($M$4,Fancoils!$B$12:$I$21,8,FALSE),IF(J12="1200",HLOOKUP($M$4,Fancoils!$B$12:$I$21,9,FALSE),IF(J12="1400",HLOOKUP($M$4,Fancoils!$B$12:$I$21,10,FALSE))))))))))</f>
        <v>3.12</v>
      </c>
      <c r="N12" s="10">
        <f>IF(J12="200",HLOOKUP($N$4,Fancoils!$B$12:$I$21,2,FALSE),IF(J12="300",HLOOKUP($N$4,Fancoils!$B$12:$I$21,3,FALSE),IF(J12="400",HLOOKUP($N$4,Fancoils!$B$12:$I$21,4,FALSE),IF(J12="500",HLOOKUP($N$4,Fancoils!$B$12:$I$21,5,FALSE),IF(J12="600",HLOOKUP($N$4,Fancoils!$B$12:$I$21,6,FALSE),IF(J12="800",HLOOKUP($N$4,Fancoils!$B$12:$I$21,7,FALSE),IF(J12="1000",HLOOKUP($N$4,Fancoils!$B$12:$I$21,8,FALSE),IF(J12="1200",HLOOKUP($N$4,Fancoils!$B$12:$I$21,9,FALSE),IF(J12="1400",HLOOKUP($N$4,Fancoils!$B$12:$I$21,10,FALSE))))))))))</f>
        <v>680</v>
      </c>
      <c r="O12" s="36">
        <f>REPORTE!P13</f>
        <v>49</v>
      </c>
      <c r="P12" s="14">
        <f t="shared" ref="P12:P15" si="16">O12*3.6</f>
        <v>176.4</v>
      </c>
      <c r="Q12" s="10">
        <f>IF(J12="200",HLOOKUP($Q$4,Fancoils!$B$12:$I$21,2,FALSE),IF(J12="300",HLOOKUP($Q$4,Fancoils!$B$12:$I$21,3,FALSE),IF(J12="400",HLOOKUP($Q$4,Fancoils!$B$12:$I$21,4,FALSE),IF(J12="500",HLOOKUP($Q$4,Fancoils!$B$12:$I$21,5,FALSE),IF(J12="600",HLOOKUP($Q$4,Fancoils!$B$12:$I$21,6,FALSE),IF(J12="800",HLOOKUP($Q$4,Fancoils!$B$12:$I$21,7,FALSE),IF(J12="1000",HLOOKUP($Q$4,Fancoils!$B$12:$I$21,8,FALSE),IF(J12="1200",HLOOKUP($Q$4,Fancoils!$B$12:$I$21,9,FALSE),IF(J12="1400",HLOOKUP($Q$4,Fancoils!$B$12:$I$21,10,FALSE))))))))))</f>
        <v>70</v>
      </c>
      <c r="R12" s="10" t="s">
        <v>18</v>
      </c>
      <c r="S12" s="10">
        <v>2</v>
      </c>
      <c r="T12" s="22">
        <f t="shared" ref="T12:T15" si="17">N12/S12</f>
        <v>340</v>
      </c>
      <c r="U12" s="13">
        <f t="shared" ref="U12:U15" si="18">N12-P12</f>
        <v>503.6</v>
      </c>
      <c r="V12" s="59">
        <f t="shared" si="5"/>
        <v>5.666666666666667</v>
      </c>
      <c r="W12" s="12">
        <f>IF(J12="200",HLOOKUP($W$4,Fancoils!$B$12:$S$21,2,FALSE),IF(J12="300",HLOOKUP($W$4,Fancoils!$B$12:$S$21,3,FALSE),IF(J12="400",HLOOKUP($W$4,Fancoils!$B$12:$S$21,4,FALSE),IF(J12="500",HLOOKUP($W$4,Fancoils!$B$12:$S$21,5,FALSE),IF(J12="600",HLOOKUP($W$4,Fancoils!$B$12:$S$21,6,FALSE),IF(J12="800",HLOOKUP($W$4,Fancoils!$B$12:$S$21,7,FALSE),IF(J12="1000",HLOOKUP($W$4,Fancoils!$B$12:$S$21,8,FALSE),IF(J12="1200",HLOOKUP($W$4,Fancoils!$B$12:$S$21,9,FALSE),IF(J12="1400",HLOOKUP($W$4,Fancoils!$B$12:$S$21,10,FALSE))))))))))</f>
        <v>10.316666666666666</v>
      </c>
      <c r="X12" s="12">
        <f>IF(J12="200",HLOOKUP($X$4,Fancoils!$B$12:$S$21,2,FALSE),IF(J12="300",HLOOKUP($X$4,Fancoils!$B$12:$S$21,3,FALSE),IF(J12="400",HLOOKUP($X$4,Fancoils!$B$12:$S$21,4,FALSE),IF(J12="500",HLOOKUP($X$4,Fancoils!$B$12:$S$21,5,FALSE),IF(J12="600",HLOOKUP($X$4,Fancoils!$B$12:$S$21,6,FALSE),IF(J12="800",HLOOKUP($X$4,Fancoils!$B$12:$S$21,7,FALSE),IF(J12="1000",HLOOKUP($X$4,Fancoils!$B$12:$S$21,8,FALSE),IF(J12="1200",HLOOKUP($X$4,Fancoils!$B$12:$S$21,9,FALSE),IF(J12="1400",HLOOKUP($X$4,Fancoils!$B$12:$S$21,10,FALSE))))))))))</f>
        <v>7.5000000000000009</v>
      </c>
      <c r="Y12" t="s">
        <v>357</v>
      </c>
      <c r="Z12" s="2">
        <f t="shared" si="6"/>
        <v>2.94</v>
      </c>
      <c r="AA12">
        <f>REPORTE!M13</f>
        <v>213</v>
      </c>
      <c r="AB12">
        <f>SUM(Z12:Z15)+SUM(Z98:Z99)</f>
        <v>13.644</v>
      </c>
      <c r="AC12" t="s">
        <v>119</v>
      </c>
    </row>
    <row r="13" spans="2:34" outlineLevel="1" x14ac:dyDescent="0.25">
      <c r="B13" s="10">
        <v>1</v>
      </c>
      <c r="C13" s="11" t="str">
        <f>REPORTE!A14</f>
        <v>1P 11 BOX CURACION Y TRA</v>
      </c>
      <c r="D13" s="10" t="s">
        <v>312</v>
      </c>
      <c r="E13" s="10" t="s">
        <v>12</v>
      </c>
      <c r="F13" s="12">
        <f>REPORTE!B14</f>
        <v>2.5</v>
      </c>
      <c r="G13" s="12">
        <f>REPORTE!C14</f>
        <v>2.5</v>
      </c>
      <c r="H13" s="12">
        <f>REPORTE!J14</f>
        <v>2</v>
      </c>
      <c r="I13" s="12">
        <f t="shared" si="0"/>
        <v>871.2</v>
      </c>
      <c r="J13" s="12" t="str">
        <f t="shared" si="7"/>
        <v>500</v>
      </c>
      <c r="K13" s="10">
        <f>IF(J13="200",HLOOKUP($K$4,Fancoils!$B$12:$I$21,2,FALSE),IF(J13="300",HLOOKUP($K$4,Fancoils!$B$12:$I$21,3,FALSE),IF(J13="400",HLOOKUP($K$4,Fancoils!$B$12:$I$21,4,FALSE),IF(J13="500",HLOOKUP($K$4,Fancoils!$B$12:$I$21,5,FALSE),IF(J13="600",HLOOKUP($K$4,Fancoils!$B$12:$I$21,6,FALSE),IF(J13="800",HLOOKUP($K$4,Fancoils!$B$12:$I$21,7,FALSE),IF(J13="1000",HLOOKUP($K$4,Fancoils!$B$12:$I$21,8,FALSE),IF(J13="1200",HLOOKUP($K$4,Fancoils!$B$12:$I$21,9,FALSE),IF(J13="1400",HLOOKUP($K$4,Fancoils!$B$12:$I$21,10,FALSE))))))))))</f>
        <v>4.3</v>
      </c>
      <c r="L13" s="10">
        <f>IF(J13="200",HLOOKUP($L$4,Fancoils!$B$12:$I$21,2,FALSE),IF(J13="300",HLOOKUP($L$4,Fancoils!$B$12:$I$21,3,FALSE),IF(J13="400",HLOOKUP($L$4,Fancoils!$B$12:$I$21,4,FALSE),IF(J13="500",HLOOKUP($L$4,Fancoils!$B$12:$I$21,5,FALSE),IF(J13="600",HLOOKUP($L$4,Fancoils!$B$12:$I$21,6,FALSE),IF(J13="800",HLOOKUP($L$4,Fancoils!$B$12:$I$21,7,FALSE),IF(J13="1000",HLOOKUP($L$4,Fancoils!$B$12:$I$21,8,FALSE),IF(J13="1200",HLOOKUP($L$4,Fancoils!$B$12:$I$21,9,FALSE),IF(J13="1400",HLOOKUP($L$4,Fancoils!$B$12:$I$21,10,FALSE))))))))))</f>
        <v>2.96</v>
      </c>
      <c r="M13" s="10">
        <f>IF(J13="200",HLOOKUP($M$4,Fancoils!$B$12:$I$21,2,FALSE),IF(J13="300",HLOOKUP($M$4,Fancoils!$B$12:$I$21,3,FALSE),IF(J13="400",HLOOKUP($M$4,Fancoils!$B$12:$I$21,4,FALSE),IF(J13="500",HLOOKUP($M$4,Fancoils!$B$12:$I$21,5,FALSE),IF(J13="600",HLOOKUP($M$4,Fancoils!$B$12:$I$21,6,FALSE),IF(J13="800",HLOOKUP($M$4,Fancoils!$B$12:$I$21,7,FALSE),IF(J13="1000",HLOOKUP($M$4,Fancoils!$B$12:$I$21,8,FALSE),IF(J13="1200",HLOOKUP($M$4,Fancoils!$B$12:$I$21,9,FALSE),IF(J13="1400",HLOOKUP($M$4,Fancoils!$B$12:$I$21,10,FALSE))))))))))</f>
        <v>3.42</v>
      </c>
      <c r="N13" s="10">
        <f>IF(J13="200",HLOOKUP($N$4,Fancoils!$B$12:$I$21,2,FALSE),IF(J13="300",HLOOKUP($N$4,Fancoils!$B$12:$I$21,3,FALSE),IF(J13="400",HLOOKUP($N$4,Fancoils!$B$12:$I$21,4,FALSE),IF(J13="500",HLOOKUP($N$4,Fancoils!$B$12:$I$21,5,FALSE),IF(J13="600",HLOOKUP($N$4,Fancoils!$B$12:$I$21,6,FALSE),IF(J13="800",HLOOKUP($N$4,Fancoils!$B$12:$I$21,7,FALSE),IF(J13="1000",HLOOKUP($N$4,Fancoils!$B$12:$I$21,8,FALSE),IF(J13="1200",HLOOKUP($N$4,Fancoils!$B$12:$I$21,9,FALSE),IF(J13="1400",HLOOKUP($N$4,Fancoils!$B$12:$I$21,10,FALSE))))))))))</f>
        <v>850</v>
      </c>
      <c r="O13" s="36">
        <f>REPORTE!P14</f>
        <v>67</v>
      </c>
      <c r="P13" s="14">
        <f t="shared" si="16"/>
        <v>241.20000000000002</v>
      </c>
      <c r="Q13" s="10">
        <f>IF(J13="200",HLOOKUP($Q$4,Fancoils!$B$12:$I$21,2,FALSE),IF(J13="300",HLOOKUP($Q$4,Fancoils!$B$12:$I$21,3,FALSE),IF(J13="400",HLOOKUP($Q$4,Fancoils!$B$12:$I$21,4,FALSE),IF(J13="500",HLOOKUP($Q$4,Fancoils!$B$12:$I$21,5,FALSE),IF(J13="600",HLOOKUP($Q$4,Fancoils!$B$12:$I$21,6,FALSE),IF(J13="800",HLOOKUP($Q$4,Fancoils!$B$12:$I$21,7,FALSE),IF(J13="1000",HLOOKUP($Q$4,Fancoils!$B$12:$I$21,8,FALSE),IF(J13="1200",HLOOKUP($Q$4,Fancoils!$B$12:$I$21,9,FALSE),IF(J13="1400",HLOOKUP($Q$4,Fancoils!$B$12:$I$21,10,FALSE))))))))))</f>
        <v>95</v>
      </c>
      <c r="R13" s="10" t="s">
        <v>18</v>
      </c>
      <c r="S13" s="10">
        <v>2</v>
      </c>
      <c r="T13" s="22">
        <f t="shared" si="17"/>
        <v>425</v>
      </c>
      <c r="U13" s="13">
        <f t="shared" si="18"/>
        <v>608.79999999999995</v>
      </c>
      <c r="V13" s="59">
        <f t="shared" si="5"/>
        <v>7.083333333333333</v>
      </c>
      <c r="W13" s="12">
        <f>IF(J13="200",HLOOKUP($W$4,Fancoils!$B$12:$S$21,2,FALSE),IF(J13="300",HLOOKUP($W$4,Fancoils!$B$12:$S$21,3,FALSE),IF(J13="400",HLOOKUP($W$4,Fancoils!$B$12:$S$21,4,FALSE),IF(J13="500",HLOOKUP($W$4,Fancoils!$B$12:$S$21,5,FALSE),IF(J13="600",HLOOKUP($W$4,Fancoils!$B$12:$S$21,6,FALSE),IF(J13="800",HLOOKUP($W$4,Fancoils!$B$12:$S$21,7,FALSE),IF(J13="1000",HLOOKUP($W$4,Fancoils!$B$12:$S$21,8,FALSE),IF(J13="1200",HLOOKUP($W$4,Fancoils!$B$12:$S$21,9,FALSE),IF(J13="1400",HLOOKUP($W$4,Fancoils!$B$12:$S$21,10,FALSE))))))))))</f>
        <v>12.333333333333334</v>
      </c>
      <c r="X13" s="12">
        <f>IF(J13="200",HLOOKUP($X$4,Fancoils!$B$12:$S$21,2,FALSE),IF(J13="300",HLOOKUP($X$4,Fancoils!$B$12:$S$21,3,FALSE),IF(J13="400",HLOOKUP($X$4,Fancoils!$B$12:$S$21,4,FALSE),IF(J13="500",HLOOKUP($X$4,Fancoils!$B$12:$S$21,5,FALSE),IF(J13="600",HLOOKUP($X$4,Fancoils!$B$12:$S$21,6,FALSE),IF(J13="800",HLOOKUP($X$4,Fancoils!$B$12:$S$21,7,FALSE),IF(J13="1000",HLOOKUP($X$4,Fancoils!$B$12:$S$21,8,FALSE),IF(J13="1200",HLOOKUP($X$4,Fancoils!$B$12:$S$21,9,FALSE),IF(J13="1400",HLOOKUP($X$4,Fancoils!$B$12:$S$21,10,FALSE))))))))))</f>
        <v>8.3333333333333339</v>
      </c>
      <c r="Y13" t="s">
        <v>121</v>
      </c>
      <c r="Z13" s="2">
        <f t="shared" si="6"/>
        <v>4.0200000000000005</v>
      </c>
      <c r="AA13">
        <f>REPORTE!M14</f>
        <v>242</v>
      </c>
    </row>
    <row r="14" spans="2:34" outlineLevel="1" x14ac:dyDescent="0.25">
      <c r="B14" s="10">
        <v>1</v>
      </c>
      <c r="C14" s="11" t="str">
        <f>REPORTE!A15</f>
        <v>1P 12 SALA PROCEDIMIENTO</v>
      </c>
      <c r="D14" s="10" t="s">
        <v>313</v>
      </c>
      <c r="E14" s="10" t="s">
        <v>12</v>
      </c>
      <c r="F14" s="12">
        <f>REPORTE!B15</f>
        <v>2</v>
      </c>
      <c r="G14" s="12">
        <f>REPORTE!C15</f>
        <v>2</v>
      </c>
      <c r="H14" s="12">
        <f>REPORTE!J15</f>
        <v>1.5</v>
      </c>
      <c r="I14" s="12">
        <f t="shared" si="0"/>
        <v>712.80000000000007</v>
      </c>
      <c r="J14" s="12" t="str">
        <f t="shared" si="7"/>
        <v>400</v>
      </c>
      <c r="K14" s="10">
        <f>IF(J14="200",HLOOKUP($K$4,Fancoils!$B$12:$I$21,2,FALSE),IF(J14="300",HLOOKUP($K$4,Fancoils!$B$12:$I$21,3,FALSE),IF(J14="400",HLOOKUP($K$4,Fancoils!$B$12:$I$21,4,FALSE),IF(J14="500",HLOOKUP($K$4,Fancoils!$B$12:$I$21,5,FALSE),IF(J14="600",HLOOKUP($K$4,Fancoils!$B$12:$I$21,6,FALSE),IF(J14="800",HLOOKUP($K$4,Fancoils!$B$12:$I$21,7,FALSE),IF(J14="1000",HLOOKUP($K$4,Fancoils!$B$12:$I$21,8,FALSE),IF(J14="1200",HLOOKUP($K$4,Fancoils!$B$12:$I$21,9,FALSE),IF(J14="1400",HLOOKUP($K$4,Fancoils!$B$12:$I$21,10,FALSE))))))))))</f>
        <v>3.6</v>
      </c>
      <c r="L14" s="10">
        <f>IF(J14="200",HLOOKUP($L$4,Fancoils!$B$12:$I$21,2,FALSE),IF(J14="300",HLOOKUP($L$4,Fancoils!$B$12:$I$21,3,FALSE),IF(J14="400",HLOOKUP($L$4,Fancoils!$B$12:$I$21,4,FALSE),IF(J14="500",HLOOKUP($L$4,Fancoils!$B$12:$I$21,5,FALSE),IF(J14="600",HLOOKUP($L$4,Fancoils!$B$12:$I$21,6,FALSE),IF(J14="800",HLOOKUP($L$4,Fancoils!$B$12:$I$21,7,FALSE),IF(J14="1000",HLOOKUP($L$4,Fancoils!$B$12:$I$21,8,FALSE),IF(J14="1200",HLOOKUP($L$4,Fancoils!$B$12:$I$21,9,FALSE),IF(J14="1400",HLOOKUP($L$4,Fancoils!$B$12:$I$21,10,FALSE))))))))))</f>
        <v>2.48</v>
      </c>
      <c r="M14" s="10">
        <f>IF(J14="200",HLOOKUP($M$4,Fancoils!$B$12:$I$21,2,FALSE),IF(J14="300",HLOOKUP($M$4,Fancoils!$B$12:$I$21,3,FALSE),IF(J14="400",HLOOKUP($M$4,Fancoils!$B$12:$I$21,4,FALSE),IF(J14="500",HLOOKUP($M$4,Fancoils!$B$12:$I$21,5,FALSE),IF(J14="600",HLOOKUP($M$4,Fancoils!$B$12:$I$21,6,FALSE),IF(J14="800",HLOOKUP($M$4,Fancoils!$B$12:$I$21,7,FALSE),IF(J14="1000",HLOOKUP($M$4,Fancoils!$B$12:$I$21,8,FALSE),IF(J14="1200",HLOOKUP($M$4,Fancoils!$B$12:$I$21,9,FALSE),IF(J14="1400",HLOOKUP($M$4,Fancoils!$B$12:$I$21,10,FALSE))))))))))</f>
        <v>3.12</v>
      </c>
      <c r="N14" s="10">
        <f>IF(J14="200",HLOOKUP($N$4,Fancoils!$B$12:$I$21,2,FALSE),IF(J14="300",HLOOKUP($N$4,Fancoils!$B$12:$I$21,3,FALSE),IF(J14="400",HLOOKUP($N$4,Fancoils!$B$12:$I$21,4,FALSE),IF(J14="500",HLOOKUP($N$4,Fancoils!$B$12:$I$21,5,FALSE),IF(J14="600",HLOOKUP($N$4,Fancoils!$B$12:$I$21,6,FALSE),IF(J14="800",HLOOKUP($N$4,Fancoils!$B$12:$I$21,7,FALSE),IF(J14="1000",HLOOKUP($N$4,Fancoils!$B$12:$I$21,8,FALSE),IF(J14="1200",HLOOKUP($N$4,Fancoils!$B$12:$I$21,9,FALSE),IF(J14="1400",HLOOKUP($N$4,Fancoils!$B$12:$I$21,10,FALSE))))))))))</f>
        <v>680</v>
      </c>
      <c r="O14" s="36">
        <f>REPORTE!P15</f>
        <v>49</v>
      </c>
      <c r="P14" s="14">
        <f t="shared" si="16"/>
        <v>176.4</v>
      </c>
      <c r="Q14" s="10">
        <f>IF(J14="200",HLOOKUP($Q$4,Fancoils!$B$12:$I$21,2,FALSE),IF(J14="300",HLOOKUP($Q$4,Fancoils!$B$12:$I$21,3,FALSE),IF(J14="400",HLOOKUP($Q$4,Fancoils!$B$12:$I$21,4,FALSE),IF(J14="500",HLOOKUP($Q$4,Fancoils!$B$12:$I$21,5,FALSE),IF(J14="600",HLOOKUP($Q$4,Fancoils!$B$12:$I$21,6,FALSE),IF(J14="800",HLOOKUP($Q$4,Fancoils!$B$12:$I$21,7,FALSE),IF(J14="1000",HLOOKUP($Q$4,Fancoils!$B$12:$I$21,8,FALSE),IF(J14="1200",HLOOKUP($Q$4,Fancoils!$B$12:$I$21,9,FALSE),IF(J14="1400",HLOOKUP($Q$4,Fancoils!$B$12:$I$21,10,FALSE))))))))))</f>
        <v>70</v>
      </c>
      <c r="R14" s="10" t="s">
        <v>18</v>
      </c>
      <c r="S14" s="10">
        <v>2</v>
      </c>
      <c r="T14" s="22">
        <f t="shared" si="17"/>
        <v>340</v>
      </c>
      <c r="U14" s="13">
        <f t="shared" si="18"/>
        <v>503.6</v>
      </c>
      <c r="V14" s="59">
        <f t="shared" si="5"/>
        <v>5.666666666666667</v>
      </c>
      <c r="W14" s="12">
        <f>IF(J14="200",HLOOKUP($W$4,Fancoils!$B$12:$S$21,2,FALSE),IF(J14="300",HLOOKUP($W$4,Fancoils!$B$12:$S$21,3,FALSE),IF(J14="400",HLOOKUP($W$4,Fancoils!$B$12:$S$21,4,FALSE),IF(J14="500",HLOOKUP($W$4,Fancoils!$B$12:$S$21,5,FALSE),IF(J14="600",HLOOKUP($W$4,Fancoils!$B$12:$S$21,6,FALSE),IF(J14="800",HLOOKUP($W$4,Fancoils!$B$12:$S$21,7,FALSE),IF(J14="1000",HLOOKUP($W$4,Fancoils!$B$12:$S$21,8,FALSE),IF(J14="1200",HLOOKUP($W$4,Fancoils!$B$12:$S$21,9,FALSE),IF(J14="1400",HLOOKUP($W$4,Fancoils!$B$12:$S$21,10,FALSE))))))))))</f>
        <v>10.316666666666666</v>
      </c>
      <c r="X14" s="12">
        <f>IF(J14="200",HLOOKUP($X$4,Fancoils!$B$12:$S$21,2,FALSE),IF(J14="300",HLOOKUP($X$4,Fancoils!$B$12:$S$21,3,FALSE),IF(J14="400",HLOOKUP($X$4,Fancoils!$B$12:$S$21,4,FALSE),IF(J14="500",HLOOKUP($X$4,Fancoils!$B$12:$S$21,5,FALSE),IF(J14="600",HLOOKUP($X$4,Fancoils!$B$12:$S$21,6,FALSE),IF(J14="800",HLOOKUP($X$4,Fancoils!$B$12:$S$21,7,FALSE),IF(J14="1000",HLOOKUP($X$4,Fancoils!$B$12:$S$21,8,FALSE),IF(J14="1200",HLOOKUP($X$4,Fancoils!$B$12:$S$21,9,FALSE),IF(J14="1400",HLOOKUP($X$4,Fancoils!$B$12:$S$21,10,FALSE))))))))))</f>
        <v>7.5000000000000009</v>
      </c>
      <c r="Y14" t="s">
        <v>357</v>
      </c>
      <c r="Z14" s="2">
        <f t="shared" si="6"/>
        <v>2.94</v>
      </c>
      <c r="AA14">
        <f>REPORTE!M15</f>
        <v>198</v>
      </c>
    </row>
    <row r="15" spans="2:34" outlineLevel="1" x14ac:dyDescent="0.25">
      <c r="B15" s="10">
        <v>1</v>
      </c>
      <c r="C15" s="11" t="str">
        <f>REPORTE!A16</f>
        <v xml:space="preserve">1P 13 SALA DE ACOGIDA   </v>
      </c>
      <c r="D15" s="10" t="s">
        <v>314</v>
      </c>
      <c r="E15" s="10" t="s">
        <v>12</v>
      </c>
      <c r="F15" s="12">
        <f>REPORTE!B16</f>
        <v>0.5</v>
      </c>
      <c r="G15" s="12">
        <f>REPORTE!C16</f>
        <v>0.5</v>
      </c>
      <c r="H15" s="12">
        <f>REPORTE!J16</f>
        <v>1</v>
      </c>
      <c r="I15" s="12">
        <f t="shared" si="0"/>
        <v>136.80000000000001</v>
      </c>
      <c r="J15" s="12" t="str">
        <f t="shared" si="7"/>
        <v>200</v>
      </c>
      <c r="K15" s="10">
        <f>IF(J15="200",HLOOKUP($K$4,Fancoils!$B$12:$I$21,2,FALSE),IF(J15="300",HLOOKUP($K$4,Fancoils!$B$12:$I$21,3,FALSE),IF(J15="400",HLOOKUP($K$4,Fancoils!$B$12:$I$21,4,FALSE),IF(J15="500",HLOOKUP($K$4,Fancoils!$B$12:$I$21,5,FALSE),IF(J15="600",HLOOKUP($K$4,Fancoils!$B$12:$I$21,6,FALSE),IF(J15="800",HLOOKUP($K$4,Fancoils!$B$12:$I$21,7,FALSE),IF(J15="1000",HLOOKUP($K$4,Fancoils!$B$12:$I$21,8,FALSE),IF(J15="1200",HLOOKUP($K$4,Fancoils!$B$12:$I$21,9,FALSE),IF(J15="1400",HLOOKUP($K$4,Fancoils!$B$12:$I$21,10,FALSE))))))))))</f>
        <v>2</v>
      </c>
      <c r="L15" s="10">
        <f>IF(J15="200",HLOOKUP($L$4,Fancoils!$B$12:$I$21,2,FALSE),IF(J15="300",HLOOKUP($L$4,Fancoils!$B$12:$I$21,3,FALSE),IF(J15="400",HLOOKUP($L$4,Fancoils!$B$12:$I$21,4,FALSE),IF(J15="500",HLOOKUP($L$4,Fancoils!$B$12:$I$21,5,FALSE),IF(J15="600",HLOOKUP($L$4,Fancoils!$B$12:$I$21,6,FALSE),IF(J15="800",HLOOKUP($L$4,Fancoils!$B$12:$I$21,7,FALSE),IF(J15="1000",HLOOKUP($L$4,Fancoils!$B$12:$I$21,8,FALSE),IF(J15="1200",HLOOKUP($L$4,Fancoils!$B$12:$I$21,9,FALSE),IF(J15="1400",HLOOKUP($L$4,Fancoils!$B$12:$I$21,10,FALSE))))))))))</f>
        <v>1.38</v>
      </c>
      <c r="M15" s="10">
        <f>IF(J15="200",HLOOKUP($M$4,Fancoils!$B$12:$I$21,2,FALSE),IF(J15="300",HLOOKUP($M$4,Fancoils!$B$12:$I$21,3,FALSE),IF(J15="400",HLOOKUP($M$4,Fancoils!$B$12:$I$21,4,FALSE),IF(J15="500",HLOOKUP($M$4,Fancoils!$B$12:$I$21,5,FALSE),IF(J15="600",HLOOKUP($M$4,Fancoils!$B$12:$I$21,6,FALSE),IF(J15="800",HLOOKUP($M$4,Fancoils!$B$12:$I$21,7,FALSE),IF(J15="1000",HLOOKUP($M$4,Fancoils!$B$12:$I$21,8,FALSE),IF(J15="1200",HLOOKUP($M$4,Fancoils!$B$12:$I$21,9,FALSE),IF(J15="1400",HLOOKUP($M$4,Fancoils!$B$12:$I$21,10,FALSE))))))))))</f>
        <v>1.8</v>
      </c>
      <c r="N15" s="10">
        <f>IF(J15="200",HLOOKUP($N$4,Fancoils!$B$12:$I$21,2,FALSE),IF(J15="300",HLOOKUP($N$4,Fancoils!$B$12:$I$21,3,FALSE),IF(J15="400",HLOOKUP($N$4,Fancoils!$B$12:$I$21,4,FALSE),IF(J15="500",HLOOKUP($N$4,Fancoils!$B$12:$I$21,5,FALSE),IF(J15="600",HLOOKUP($N$4,Fancoils!$B$12:$I$21,6,FALSE),IF(J15="800",HLOOKUP($N$4,Fancoils!$B$12:$I$21,7,FALSE),IF(J15="1000",HLOOKUP($N$4,Fancoils!$B$12:$I$21,8,FALSE),IF(J15="1200",HLOOKUP($N$4,Fancoils!$B$12:$I$21,9,FALSE),IF(J15="1400",HLOOKUP($N$4,Fancoils!$B$12:$I$21,10,FALSE))))))))))</f>
        <v>340</v>
      </c>
      <c r="O15" s="36">
        <f>REPORTE!P16</f>
        <v>35</v>
      </c>
      <c r="P15" s="14">
        <f t="shared" si="16"/>
        <v>126</v>
      </c>
      <c r="Q15" s="10">
        <f>IF(J15="200",HLOOKUP($Q$4,Fancoils!$B$12:$I$21,2,FALSE),IF(J15="300",HLOOKUP($Q$4,Fancoils!$B$12:$I$21,3,FALSE),IF(J15="400",HLOOKUP($Q$4,Fancoils!$B$12:$I$21,4,FALSE),IF(J15="500",HLOOKUP($Q$4,Fancoils!$B$12:$I$21,5,FALSE),IF(J15="600",HLOOKUP($Q$4,Fancoils!$B$12:$I$21,6,FALSE),IF(J15="800",HLOOKUP($Q$4,Fancoils!$B$12:$I$21,7,FALSE),IF(J15="1000",HLOOKUP($Q$4,Fancoils!$B$12:$I$21,8,FALSE),IF(J15="1200",HLOOKUP($Q$4,Fancoils!$B$12:$I$21,9,FALSE),IF(J15="1400",HLOOKUP($Q$4,Fancoils!$B$12:$I$21,10,FALSE))))))))))</f>
        <v>50</v>
      </c>
      <c r="R15" s="10" t="s">
        <v>18</v>
      </c>
      <c r="S15" s="10">
        <v>2</v>
      </c>
      <c r="T15" s="22">
        <f t="shared" si="17"/>
        <v>170</v>
      </c>
      <c r="U15" s="13">
        <f t="shared" si="18"/>
        <v>214</v>
      </c>
      <c r="V15" s="59">
        <f t="shared" si="5"/>
        <v>2.8333333333333335</v>
      </c>
      <c r="W15" s="12">
        <f>IF(J15="200",HLOOKUP($W$4,Fancoils!$B$12:$S$21,2,FALSE),IF(J15="300",HLOOKUP($W$4,Fancoils!$B$12:$S$21,3,FALSE),IF(J15="400",HLOOKUP($W$4,Fancoils!$B$12:$S$21,4,FALSE),IF(J15="500",HLOOKUP($W$4,Fancoils!$B$12:$S$21,5,FALSE),IF(J15="600",HLOOKUP($W$4,Fancoils!$B$12:$S$21,6,FALSE),IF(J15="800",HLOOKUP($W$4,Fancoils!$B$12:$S$21,7,FALSE),IF(J15="1000",HLOOKUP($W$4,Fancoils!$B$12:$S$21,8,FALSE),IF(J15="1200",HLOOKUP($W$4,Fancoils!$B$12:$S$21,9,FALSE),IF(J15="1400",HLOOKUP($W$4,Fancoils!$B$12:$S$21,10,FALSE))))))))))</f>
        <v>5.7333333333333334</v>
      </c>
      <c r="X15" s="12">
        <f>IF(J15="200",HLOOKUP($X$4,Fancoils!$B$12:$S$21,2,FALSE),IF(J15="300",HLOOKUP($X$4,Fancoils!$B$12:$S$21,3,FALSE),IF(J15="400",HLOOKUP($X$4,Fancoils!$B$12:$S$21,4,FALSE),IF(J15="500",HLOOKUP($X$4,Fancoils!$B$12:$S$21,5,FALSE),IF(J15="600",HLOOKUP($X$4,Fancoils!$B$12:$S$21,6,FALSE),IF(J15="800",HLOOKUP($X$4,Fancoils!$B$12:$S$21,7,FALSE),IF(J15="1000",HLOOKUP($X$4,Fancoils!$B$12:$S$21,8,FALSE),IF(J15="1200",HLOOKUP($X$4,Fancoils!$B$12:$S$21,9,FALSE),IF(J15="1400",HLOOKUP($X$4,Fancoils!$B$12:$S$21,10,FALSE))))))))))</f>
        <v>4.333333333333333</v>
      </c>
      <c r="Y15" t="s">
        <v>357</v>
      </c>
      <c r="Z15" s="2">
        <f t="shared" si="6"/>
        <v>2.1</v>
      </c>
      <c r="AA15">
        <f>REPORTE!M16</f>
        <v>38</v>
      </c>
    </row>
    <row r="16" spans="2:34" outlineLevel="1" x14ac:dyDescent="0.25">
      <c r="B16" s="10">
        <v>1</v>
      </c>
      <c r="C16" s="11" t="str">
        <f>REPORTE!A17</f>
        <v xml:space="preserve">1P 14 SALA DE ESPERA    </v>
      </c>
      <c r="D16" s="10" t="s">
        <v>315</v>
      </c>
      <c r="E16" s="10" t="s">
        <v>12</v>
      </c>
      <c r="F16" s="12">
        <f>REPORTE!B17/2</f>
        <v>9</v>
      </c>
      <c r="G16" s="12">
        <f>REPORTE!C17/2</f>
        <v>9</v>
      </c>
      <c r="H16" s="12">
        <f>REPORTE!J17/2</f>
        <v>14.55</v>
      </c>
      <c r="I16" s="12">
        <f>AA16*3.6/2</f>
        <v>2973.6</v>
      </c>
      <c r="J16" s="12" t="str">
        <f t="shared" si="7"/>
        <v>1400</v>
      </c>
      <c r="K16" s="10">
        <f>IF(J16="200",HLOOKUP($K$4,Fancoils!$B$12:$I$21,2,FALSE),IF(J16="300",HLOOKUP($K$4,Fancoils!$B$12:$I$21,3,FALSE),IF(J16="400",HLOOKUP($K$4,Fancoils!$B$12:$I$21,4,FALSE),IF(J16="500",HLOOKUP($K$4,Fancoils!$B$12:$I$21,5,FALSE),IF(J16="600",HLOOKUP($K$4,Fancoils!$B$12:$I$21,6,FALSE),IF(J16="800",HLOOKUP($K$4,Fancoils!$B$12:$I$21,7,FALSE),IF(J16="1000",HLOOKUP($K$4,Fancoils!$B$12:$I$21,8,FALSE),IF(J16="1200",HLOOKUP($K$4,Fancoils!$B$12:$I$21,9,FALSE),IF(J16="1400",HLOOKUP($K$4,Fancoils!$B$12:$I$21,10,FALSE))))))))))</f>
        <v>11.5</v>
      </c>
      <c r="L16" s="10">
        <f>IF(J16="200",HLOOKUP($L$4,Fancoils!$B$12:$I$21,2,FALSE),IF(J16="300",HLOOKUP($L$4,Fancoils!$B$12:$I$21,3,FALSE),IF(J16="400",HLOOKUP($L$4,Fancoils!$B$12:$I$21,4,FALSE),IF(J16="500",HLOOKUP($L$4,Fancoils!$B$12:$I$21,5,FALSE),IF(J16="600",HLOOKUP($L$4,Fancoils!$B$12:$I$21,6,FALSE),IF(J16="800",HLOOKUP($L$4,Fancoils!$B$12:$I$21,7,FALSE),IF(J16="1000",HLOOKUP($L$4,Fancoils!$B$12:$I$21,8,FALSE),IF(J16="1200",HLOOKUP($L$4,Fancoils!$B$12:$I$21,9,FALSE),IF(J16="1400",HLOOKUP($L$4,Fancoils!$B$12:$I$21,10,FALSE))))))))))</f>
        <v>7.92</v>
      </c>
      <c r="M16" s="10">
        <f>IF(J16="200",HLOOKUP($M$4,Fancoils!$B$12:$I$21,2,FALSE),IF(J16="300",HLOOKUP($M$4,Fancoils!$B$12:$I$21,3,FALSE),IF(J16="400",HLOOKUP($M$4,Fancoils!$B$12:$I$21,4,FALSE),IF(J16="500",HLOOKUP($M$4,Fancoils!$B$12:$I$21,5,FALSE),IF(J16="600",HLOOKUP($M$4,Fancoils!$B$12:$I$21,6,FALSE),IF(J16="800",HLOOKUP($M$4,Fancoils!$B$12:$I$21,7,FALSE),IF(J16="1000",HLOOKUP($M$4,Fancoils!$B$12:$I$21,8,FALSE),IF(J16="1200",HLOOKUP($M$4,Fancoils!$B$12:$I$21,9,FALSE),IF(J16="1400",HLOOKUP($M$4,Fancoils!$B$12:$I$21,10,FALSE))))))))))</f>
        <v>9.3000000000000007</v>
      </c>
      <c r="N16" s="10">
        <f>IF(J16="200",HLOOKUP($N$4,Fancoils!$B$12:$I$21,2,FALSE),IF(J16="300",HLOOKUP($N$4,Fancoils!$B$12:$I$21,3,FALSE),IF(J16="400",HLOOKUP($N$4,Fancoils!$B$12:$I$21,4,FALSE),IF(J16="500",HLOOKUP($N$4,Fancoils!$B$12:$I$21,5,FALSE),IF(J16="600",HLOOKUP($N$4,Fancoils!$B$12:$I$21,6,FALSE),IF(J16="800",HLOOKUP($N$4,Fancoils!$B$12:$I$21,7,FALSE),IF(J16="1000",HLOOKUP($N$4,Fancoils!$B$12:$I$21,8,FALSE),IF(J16="1200",HLOOKUP($N$4,Fancoils!$B$12:$I$21,9,FALSE),IF(J16="1400",HLOOKUP($N$4,Fancoils!$B$12:$I$21,10,FALSE))))))))))</f>
        <v>2380</v>
      </c>
      <c r="O16" s="36">
        <f>REPORTE!P17/2</f>
        <v>597.5</v>
      </c>
      <c r="P16" s="14">
        <f>O16*3.6</f>
        <v>2151</v>
      </c>
      <c r="Q16" s="10">
        <f>IF(J16="200",HLOOKUP($Q$4,Fancoils!$B$12:$I$21,2,FALSE),IF(J16="300",HLOOKUP($Q$4,Fancoils!$B$12:$I$21,3,FALSE),IF(J16="400",HLOOKUP($Q$4,Fancoils!$B$12:$I$21,4,FALSE),IF(J16="500",HLOOKUP($Q$4,Fancoils!$B$12:$I$21,5,FALSE),IF(J16="600",HLOOKUP($Q$4,Fancoils!$B$12:$I$21,6,FALSE),IF(J16="800",HLOOKUP($Q$4,Fancoils!$B$12:$I$21,7,FALSE),IF(J16="1000",HLOOKUP($Q$4,Fancoils!$B$12:$I$21,8,FALSE),IF(J16="1200",HLOOKUP($Q$4,Fancoils!$B$12:$I$21,9,FALSE),IF(J16="1400",HLOOKUP($Q$4,Fancoils!$B$12:$I$21,10,FALSE))))))))))</f>
        <v>240</v>
      </c>
      <c r="R16" s="10" t="s">
        <v>18</v>
      </c>
      <c r="S16" s="10">
        <v>6</v>
      </c>
      <c r="T16" s="73">
        <f t="shared" si="9"/>
        <v>396.66666666666669</v>
      </c>
      <c r="U16" s="13">
        <f t="shared" si="10"/>
        <v>229</v>
      </c>
      <c r="V16" s="59">
        <f>T16/60</f>
        <v>6.6111111111111116</v>
      </c>
      <c r="W16" s="12">
        <f>IF(J16="200",HLOOKUP($W$4,Fancoils!$B$12:$S$21,2,FALSE),IF(J16="300",HLOOKUP($W$4,Fancoils!$B$12:$S$21,3,FALSE),IF(J16="400",HLOOKUP($W$4,Fancoils!$B$12:$S$21,4,FALSE),IF(J16="500",HLOOKUP($W$4,Fancoils!$B$12:$S$21,5,FALSE),IF(J16="600",HLOOKUP($W$4,Fancoils!$B$12:$S$21,6,FALSE),IF(J16="800",HLOOKUP($W$4,Fancoils!$B$12:$S$21,7,FALSE),IF(J16="1000",HLOOKUP($W$4,Fancoils!$B$12:$S$21,8,FALSE),IF(J16="1200",HLOOKUP($W$4,Fancoils!$B$12:$S$21,9,FALSE),IF(J16="1400",HLOOKUP($W$4,Fancoils!$B$12:$S$21,10,FALSE))))))))))</f>
        <v>32.966666666666669</v>
      </c>
      <c r="X16" s="12">
        <f>IF(J16="200",HLOOKUP($X$4,Fancoils!$B$12:$S$21,2,FALSE),IF(J16="300",HLOOKUP($X$4,Fancoils!$B$12:$S$21,3,FALSE),IF(J16="400",HLOOKUP($X$4,Fancoils!$B$12:$S$21,4,FALSE),IF(J16="500",HLOOKUP($X$4,Fancoils!$B$12:$S$21,5,FALSE),IF(J16="600",HLOOKUP($X$4,Fancoils!$B$12:$S$21,6,FALSE),IF(J16="800",HLOOKUP($X$4,Fancoils!$B$12:$S$21,7,FALSE),IF(J16="1000",HLOOKUP($X$4,Fancoils!$B$12:$S$21,8,FALSE),IF(J16="1200",HLOOKUP($X$4,Fancoils!$B$12:$S$21,9,FALSE),IF(J16="1400",HLOOKUP($X$4,Fancoils!$B$12:$S$21,10,FALSE))))))))))</f>
        <v>22.166666666666668</v>
      </c>
      <c r="Y16" t="s">
        <v>119</v>
      </c>
      <c r="Z16" s="2">
        <f>P16/60</f>
        <v>35.85</v>
      </c>
      <c r="AA16">
        <f>REPORTE!M17</f>
        <v>1652</v>
      </c>
    </row>
    <row r="17" spans="1:30" outlineLevel="1" x14ac:dyDescent="0.25">
      <c r="B17" s="10">
        <v>1</v>
      </c>
      <c r="C17" s="11" t="str">
        <f>REPORTE!A18</f>
        <v>1P 14 SALA DE ESPERA</v>
      </c>
      <c r="D17" s="10" t="s">
        <v>316</v>
      </c>
      <c r="E17" s="10" t="s">
        <v>12</v>
      </c>
      <c r="F17" s="12">
        <f>REPORTE!B18/2</f>
        <v>9</v>
      </c>
      <c r="G17" s="12">
        <f>REPORTE!C18/2</f>
        <v>9</v>
      </c>
      <c r="H17" s="12">
        <f>REPORTE!J18/2</f>
        <v>14.55</v>
      </c>
      <c r="I17" s="12">
        <f>AA17*3.6/2</f>
        <v>2973.6</v>
      </c>
      <c r="J17" s="12" t="str">
        <f t="shared" si="7"/>
        <v>1400</v>
      </c>
      <c r="K17" s="10">
        <f>IF(J17="200",HLOOKUP($K$4,Fancoils!$B$12:$I$21,2,FALSE),IF(J17="300",HLOOKUP($K$4,Fancoils!$B$12:$I$21,3,FALSE),IF(J17="400",HLOOKUP($K$4,Fancoils!$B$12:$I$21,4,FALSE),IF(J17="500",HLOOKUP($K$4,Fancoils!$B$12:$I$21,5,FALSE),IF(J17="600",HLOOKUP($K$4,Fancoils!$B$12:$I$21,6,FALSE),IF(J17="800",HLOOKUP($K$4,Fancoils!$B$12:$I$21,7,FALSE),IF(J17="1000",HLOOKUP($K$4,Fancoils!$B$12:$I$21,8,FALSE),IF(J17="1200",HLOOKUP($K$4,Fancoils!$B$12:$I$21,9,FALSE),IF(J17="1400",HLOOKUP($K$4,Fancoils!$B$12:$I$21,10,FALSE))))))))))</f>
        <v>11.5</v>
      </c>
      <c r="L17" s="10">
        <f>IF(J17="200",HLOOKUP($L$4,Fancoils!$B$12:$I$21,2,FALSE),IF(J17="300",HLOOKUP($L$4,Fancoils!$B$12:$I$21,3,FALSE),IF(J17="400",HLOOKUP($L$4,Fancoils!$B$12:$I$21,4,FALSE),IF(J17="500",HLOOKUP($L$4,Fancoils!$B$12:$I$21,5,FALSE),IF(J17="600",HLOOKUP($L$4,Fancoils!$B$12:$I$21,6,FALSE),IF(J17="800",HLOOKUP($L$4,Fancoils!$B$12:$I$21,7,FALSE),IF(J17="1000",HLOOKUP($L$4,Fancoils!$B$12:$I$21,8,FALSE),IF(J17="1200",HLOOKUP($L$4,Fancoils!$B$12:$I$21,9,FALSE),IF(J17="1400",HLOOKUP($L$4,Fancoils!$B$12:$I$21,10,FALSE))))))))))</f>
        <v>7.92</v>
      </c>
      <c r="M17" s="10">
        <f>IF(J17="200",HLOOKUP($M$4,Fancoils!$B$12:$I$21,2,FALSE),IF(J17="300",HLOOKUP($M$4,Fancoils!$B$12:$I$21,3,FALSE),IF(J17="400",HLOOKUP($M$4,Fancoils!$B$12:$I$21,4,FALSE),IF(J17="500",HLOOKUP($M$4,Fancoils!$B$12:$I$21,5,FALSE),IF(J17="600",HLOOKUP($M$4,Fancoils!$B$12:$I$21,6,FALSE),IF(J17="800",HLOOKUP($M$4,Fancoils!$B$12:$I$21,7,FALSE),IF(J17="1000",HLOOKUP($M$4,Fancoils!$B$12:$I$21,8,FALSE),IF(J17="1200",HLOOKUP($M$4,Fancoils!$B$12:$I$21,9,FALSE),IF(J17="1400",HLOOKUP($M$4,Fancoils!$B$12:$I$21,10,FALSE))))))))))</f>
        <v>9.3000000000000007</v>
      </c>
      <c r="N17" s="10">
        <f>IF(J17="200",HLOOKUP($N$4,Fancoils!$B$12:$I$21,2,FALSE),IF(J17="300",HLOOKUP($N$4,Fancoils!$B$12:$I$21,3,FALSE),IF(J17="400",HLOOKUP($N$4,Fancoils!$B$12:$I$21,4,FALSE),IF(J17="500",HLOOKUP($N$4,Fancoils!$B$12:$I$21,5,FALSE),IF(J17="600",HLOOKUP($N$4,Fancoils!$B$12:$I$21,6,FALSE),IF(J17="800",HLOOKUP($N$4,Fancoils!$B$12:$I$21,7,FALSE),IF(J17="1000",HLOOKUP($N$4,Fancoils!$B$12:$I$21,8,FALSE),IF(J17="1200",HLOOKUP($N$4,Fancoils!$B$12:$I$21,9,FALSE),IF(J17="1400",HLOOKUP($N$4,Fancoils!$B$12:$I$21,10,FALSE))))))))))</f>
        <v>2380</v>
      </c>
      <c r="O17" s="36">
        <f>REPORTE!P18/2</f>
        <v>597.5</v>
      </c>
      <c r="P17" s="14">
        <f t="shared" si="8"/>
        <v>2151</v>
      </c>
      <c r="Q17" s="10">
        <f>IF(J17="200",HLOOKUP($Q$4,Fancoils!$B$12:$I$21,2,FALSE),IF(J17="300",HLOOKUP($Q$4,Fancoils!$B$12:$I$21,3,FALSE),IF(J17="400",HLOOKUP($Q$4,Fancoils!$B$12:$I$21,4,FALSE),IF(J17="500",HLOOKUP($Q$4,Fancoils!$B$12:$I$21,5,FALSE),IF(J17="600",HLOOKUP($Q$4,Fancoils!$B$12:$I$21,6,FALSE),IF(J17="800",HLOOKUP($Q$4,Fancoils!$B$12:$I$21,7,FALSE),IF(J17="1000",HLOOKUP($Q$4,Fancoils!$B$12:$I$21,8,FALSE),IF(J17="1200",HLOOKUP($Q$4,Fancoils!$B$12:$I$21,9,FALSE),IF(J17="1400",HLOOKUP($Q$4,Fancoils!$B$12:$I$21,10,FALSE))))))))))</f>
        <v>240</v>
      </c>
      <c r="R17" s="10" t="s">
        <v>18</v>
      </c>
      <c r="S17" s="10">
        <v>6</v>
      </c>
      <c r="T17" s="73">
        <f t="shared" si="9"/>
        <v>396.66666666666669</v>
      </c>
      <c r="U17" s="13">
        <f t="shared" si="10"/>
        <v>229</v>
      </c>
      <c r="V17" s="59">
        <f t="shared" si="5"/>
        <v>6.6111111111111116</v>
      </c>
      <c r="W17" s="12">
        <f>IF(J17="200",HLOOKUP($W$4,Fancoils!$B$12:$S$21,2,FALSE),IF(J17="300",HLOOKUP($W$4,Fancoils!$B$12:$S$21,3,FALSE),IF(J17="400",HLOOKUP($W$4,Fancoils!$B$12:$S$21,4,FALSE),IF(J17="500",HLOOKUP($W$4,Fancoils!$B$12:$S$21,5,FALSE),IF(J17="600",HLOOKUP($W$4,Fancoils!$B$12:$S$21,6,FALSE),IF(J17="800",HLOOKUP($W$4,Fancoils!$B$12:$S$21,7,FALSE),IF(J17="1000",HLOOKUP($W$4,Fancoils!$B$12:$S$21,8,FALSE),IF(J17="1200",HLOOKUP($W$4,Fancoils!$B$12:$S$21,9,FALSE),IF(J17="1400",HLOOKUP($W$4,Fancoils!$B$12:$S$21,10,FALSE))))))))))</f>
        <v>32.966666666666669</v>
      </c>
      <c r="X17" s="12">
        <f>IF(J17="200",HLOOKUP($X$4,Fancoils!$B$12:$S$21,2,FALSE),IF(J17="300",HLOOKUP($X$4,Fancoils!$B$12:$S$21,3,FALSE),IF(J17="400",HLOOKUP($X$4,Fancoils!$B$12:$S$21,4,FALSE),IF(J17="500",HLOOKUP($X$4,Fancoils!$B$12:$S$21,5,FALSE),IF(J17="600",HLOOKUP($X$4,Fancoils!$B$12:$S$21,6,FALSE),IF(J17="800",HLOOKUP($X$4,Fancoils!$B$12:$S$21,7,FALSE),IF(J17="1000",HLOOKUP($X$4,Fancoils!$B$12:$S$21,8,FALSE),IF(J17="1200",HLOOKUP($X$4,Fancoils!$B$12:$S$21,9,FALSE),IF(J17="1400",HLOOKUP($X$4,Fancoils!$B$12:$S$21,10,FALSE))))))))))</f>
        <v>22.166666666666668</v>
      </c>
      <c r="Y17" t="s">
        <v>119</v>
      </c>
      <c r="Z17" s="2">
        <f t="shared" si="6"/>
        <v>35.85</v>
      </c>
      <c r="AA17">
        <f>REPORTE!M18</f>
        <v>1652</v>
      </c>
    </row>
    <row r="18" spans="1:30" outlineLevel="1" x14ac:dyDescent="0.25">
      <c r="B18" s="10">
        <v>1</v>
      </c>
      <c r="C18" s="11" t="str">
        <f>REPORTE!A19</f>
        <v xml:space="preserve">1P 17 DESPACHO PNAC     </v>
      </c>
      <c r="D18" s="10" t="s">
        <v>317</v>
      </c>
      <c r="E18" s="10" t="s">
        <v>12</v>
      </c>
      <c r="F18" s="12">
        <f>REPORTE!B19</f>
        <v>3.9</v>
      </c>
      <c r="G18" s="12">
        <f>REPORTE!C19</f>
        <v>3.9</v>
      </c>
      <c r="H18" s="12">
        <f>REPORTE!J19</f>
        <v>0.8</v>
      </c>
      <c r="I18" s="12">
        <f>AA18*3.6</f>
        <v>1443.6000000000001</v>
      </c>
      <c r="J18" s="12" t="str">
        <f t="shared" si="7"/>
        <v>800</v>
      </c>
      <c r="K18" s="10">
        <f>IF(J18="200",HLOOKUP($K$4,Fancoils!$B$12:$I$21,2,FALSE),IF(J18="300",HLOOKUP($K$4,Fancoils!$B$12:$I$21,3,FALSE),IF(J18="400",HLOOKUP($K$4,Fancoils!$B$12:$I$21,4,FALSE),IF(J18="500",HLOOKUP($K$4,Fancoils!$B$12:$I$21,5,FALSE),IF(J18="600",HLOOKUP($K$4,Fancoils!$B$12:$I$21,6,FALSE),IF(J18="800",HLOOKUP($K$4,Fancoils!$B$12:$I$21,7,FALSE),IF(J18="1000",HLOOKUP($K$4,Fancoils!$B$12:$I$21,8,FALSE),IF(J18="1200",HLOOKUP($K$4,Fancoils!$B$12:$I$21,9,FALSE),IF(J18="1400",HLOOKUP($K$4,Fancoils!$B$12:$I$21,10,FALSE))))))))))</f>
        <v>6.8</v>
      </c>
      <c r="L18" s="10">
        <f>IF(J18="200",HLOOKUP($L$4,Fancoils!$B$12:$I$21,2,FALSE),IF(J18="300",HLOOKUP($L$4,Fancoils!$B$12:$I$21,3,FALSE),IF(J18="400",HLOOKUP($L$4,Fancoils!$B$12:$I$21,4,FALSE),IF(J18="500",HLOOKUP($L$4,Fancoils!$B$12:$I$21,5,FALSE),IF(J18="600",HLOOKUP($L$4,Fancoils!$B$12:$I$21,6,FALSE),IF(J18="800",HLOOKUP($L$4,Fancoils!$B$12:$I$21,7,FALSE),IF(J18="1000",HLOOKUP($L$4,Fancoils!$B$12:$I$21,8,FALSE),IF(J18="1200",HLOOKUP($L$4,Fancoils!$B$12:$I$21,9,FALSE),IF(J18="1400",HLOOKUP($L$4,Fancoils!$B$12:$I$21,10,FALSE))))))))))</f>
        <v>4.68</v>
      </c>
      <c r="M18" s="10">
        <f>IF(J18="200",HLOOKUP($M$4,Fancoils!$B$12:$I$21,2,FALSE),IF(J18="300",HLOOKUP($M$4,Fancoils!$B$12:$I$21,3,FALSE),IF(J18="400",HLOOKUP($M$4,Fancoils!$B$12:$I$21,4,FALSE),IF(J18="500",HLOOKUP($M$4,Fancoils!$B$12:$I$21,5,FALSE),IF(J18="600",HLOOKUP($M$4,Fancoils!$B$12:$I$21,6,FALSE),IF(J18="800",HLOOKUP($M$4,Fancoils!$B$12:$I$21,7,FALSE),IF(J18="1000",HLOOKUP($M$4,Fancoils!$B$12:$I$21,8,FALSE),IF(J18="1200",HLOOKUP($M$4,Fancoils!$B$12:$I$21,9,FALSE),IF(J18="1400",HLOOKUP($M$4,Fancoils!$B$12:$I$21,10,FALSE))))))))))</f>
        <v>5.76</v>
      </c>
      <c r="N18" s="10">
        <f>IF(J18="200",HLOOKUP($N$4,Fancoils!$B$12:$I$21,2,FALSE),IF(J18="300",HLOOKUP($N$4,Fancoils!$B$12:$I$21,3,FALSE),IF(J18="400",HLOOKUP($N$4,Fancoils!$B$12:$I$21,4,FALSE),IF(J18="500",HLOOKUP($N$4,Fancoils!$B$12:$I$21,5,FALSE),IF(J18="600",HLOOKUP($N$4,Fancoils!$B$12:$I$21,6,FALSE),IF(J18="800",HLOOKUP($N$4,Fancoils!$B$12:$I$21,7,FALSE),IF(J18="1000",HLOOKUP($N$4,Fancoils!$B$12:$I$21,8,FALSE),IF(J18="1200",HLOOKUP($N$4,Fancoils!$B$12:$I$21,9,FALSE),IF(J18="1400",HLOOKUP($N$4,Fancoils!$B$12:$I$21,10,FALSE))))))))))</f>
        <v>1360</v>
      </c>
      <c r="O18" s="36">
        <f>REPORTE!P19</f>
        <v>8</v>
      </c>
      <c r="P18" s="14">
        <f t="shared" si="8"/>
        <v>28.8</v>
      </c>
      <c r="Q18" s="10">
        <f>IF(J18="200",HLOOKUP($Q$4,Fancoils!$B$12:$I$21,2,FALSE),IF(J18="300",HLOOKUP($Q$4,Fancoils!$B$12:$I$21,3,FALSE),IF(J18="400",HLOOKUP($Q$4,Fancoils!$B$12:$I$21,4,FALSE),IF(J18="500",HLOOKUP($Q$4,Fancoils!$B$12:$I$21,5,FALSE),IF(J18="600",HLOOKUP($Q$4,Fancoils!$B$12:$I$21,6,FALSE),IF(J18="800",HLOOKUP($Q$4,Fancoils!$B$12:$I$21,7,FALSE),IF(J18="1000",HLOOKUP($Q$4,Fancoils!$B$12:$I$21,8,FALSE),IF(J18="1200",HLOOKUP($Q$4,Fancoils!$B$12:$I$21,9,FALSE),IF(J18="1400",HLOOKUP($Q$4,Fancoils!$B$12:$I$21,10,FALSE))))))))))</f>
        <v>198</v>
      </c>
      <c r="R18" s="10" t="s">
        <v>18</v>
      </c>
      <c r="S18" s="10">
        <v>4</v>
      </c>
      <c r="T18" s="22">
        <f t="shared" si="9"/>
        <v>340</v>
      </c>
      <c r="U18" s="13">
        <f t="shared" si="10"/>
        <v>1331.2</v>
      </c>
      <c r="V18" s="59">
        <f t="shared" si="5"/>
        <v>5.666666666666667</v>
      </c>
      <c r="W18" s="12">
        <f>IF(J18="200",HLOOKUP($W$4,Fancoils!$B$12:$S$21,2,FALSE),IF(J18="300",HLOOKUP($W$4,Fancoils!$B$12:$S$21,3,FALSE),IF(J18="400",HLOOKUP($W$4,Fancoils!$B$12:$S$21,4,FALSE),IF(J18="500",HLOOKUP($W$4,Fancoils!$B$12:$S$21,5,FALSE),IF(J18="600",HLOOKUP($W$4,Fancoils!$B$12:$S$21,6,FALSE),IF(J18="800",HLOOKUP($W$4,Fancoils!$B$12:$S$21,7,FALSE),IF(J18="1000",HLOOKUP($W$4,Fancoils!$B$12:$S$21,8,FALSE),IF(J18="1200",HLOOKUP($W$4,Fancoils!$B$12:$S$21,9,FALSE),IF(J18="1400",HLOOKUP($W$4,Fancoils!$B$12:$S$21,10,FALSE))))))))))</f>
        <v>19.5</v>
      </c>
      <c r="X18" s="12">
        <f>IF(J18="200",HLOOKUP($X$4,Fancoils!$B$12:$S$21,2,FALSE),IF(J18="300",HLOOKUP($X$4,Fancoils!$B$12:$S$21,3,FALSE),IF(J18="400",HLOOKUP($X$4,Fancoils!$B$12:$S$21,4,FALSE),IF(J18="500",HLOOKUP($X$4,Fancoils!$B$12:$S$21,5,FALSE),IF(J18="600",HLOOKUP($X$4,Fancoils!$B$12:$S$21,6,FALSE),IF(J18="800",HLOOKUP($X$4,Fancoils!$B$12:$S$21,7,FALSE),IF(J18="1000",HLOOKUP($X$4,Fancoils!$B$12:$S$21,8,FALSE),IF(J18="1200",HLOOKUP($X$4,Fancoils!$B$12:$S$21,9,FALSE),IF(J18="1400",HLOOKUP($X$4,Fancoils!$B$12:$S$21,10,FALSE))))))))))</f>
        <v>13.833333333333332</v>
      </c>
      <c r="Y18" t="s">
        <v>357</v>
      </c>
      <c r="Z18" s="2">
        <f t="shared" si="6"/>
        <v>0.48000000000000004</v>
      </c>
      <c r="AA18">
        <f>REPORTE!M19</f>
        <v>401</v>
      </c>
      <c r="AB18">
        <f>SUM(Z18:Z25)</f>
        <v>25.259999999999998</v>
      </c>
      <c r="AC18" t="s">
        <v>123</v>
      </c>
    </row>
    <row r="19" spans="1:30" s="33" customFormat="1" outlineLevel="1" x14ac:dyDescent="0.25">
      <c r="B19" s="10">
        <v>1</v>
      </c>
      <c r="C19" s="11" t="str">
        <f>REPORTE!A20</f>
        <v xml:space="preserve">1P 16 DESPACHO FARMACIA </v>
      </c>
      <c r="D19" s="10" t="s">
        <v>318</v>
      </c>
      <c r="E19" s="10" t="s">
        <v>12</v>
      </c>
      <c r="F19" s="12">
        <f>REPORTE!B20</f>
        <v>3.9</v>
      </c>
      <c r="G19" s="12">
        <f>REPORTE!C20</f>
        <v>3.9</v>
      </c>
      <c r="H19" s="12">
        <f>REPORTE!J20</f>
        <v>0.7</v>
      </c>
      <c r="I19" s="12">
        <f>AA19*3.6</f>
        <v>1198.8</v>
      </c>
      <c r="J19" s="12" t="str">
        <f t="shared" si="7"/>
        <v>800</v>
      </c>
      <c r="K19" s="10">
        <f>IF(J19="200",HLOOKUP($K$4,Fancoils!$B$12:$I$21,2,FALSE),IF(J19="300",HLOOKUP($K$4,Fancoils!$B$12:$I$21,3,FALSE),IF(J19="400",HLOOKUP($K$4,Fancoils!$B$12:$I$21,4,FALSE),IF(J19="500",HLOOKUP($K$4,Fancoils!$B$12:$I$21,5,FALSE),IF(J19="600",HLOOKUP($K$4,Fancoils!$B$12:$I$21,6,FALSE),IF(J19="800",HLOOKUP($K$4,Fancoils!$B$12:$I$21,7,FALSE),IF(J19="1000",HLOOKUP($K$4,Fancoils!$B$12:$I$21,8,FALSE),IF(J19="1200",HLOOKUP($K$4,Fancoils!$B$12:$I$21,9,FALSE),IF(J19="1400",HLOOKUP($K$4,Fancoils!$B$12:$I$21,10,FALSE))))))))))</f>
        <v>6.8</v>
      </c>
      <c r="L19" s="10">
        <f>IF(J19="200",HLOOKUP($L$4,Fancoils!$B$12:$I$21,2,FALSE),IF(J19="300",HLOOKUP($L$4,Fancoils!$B$12:$I$21,3,FALSE),IF(J19="400",HLOOKUP($L$4,Fancoils!$B$12:$I$21,4,FALSE),IF(J19="500",HLOOKUP($L$4,Fancoils!$B$12:$I$21,5,FALSE),IF(J19="600",HLOOKUP($L$4,Fancoils!$B$12:$I$21,6,FALSE),IF(J19="800",HLOOKUP($L$4,Fancoils!$B$12:$I$21,7,FALSE),IF(J19="1000",HLOOKUP($L$4,Fancoils!$B$12:$I$21,8,FALSE),IF(J19="1200",HLOOKUP($L$4,Fancoils!$B$12:$I$21,9,FALSE),IF(J19="1400",HLOOKUP($L$4,Fancoils!$B$12:$I$21,10,FALSE))))))))))</f>
        <v>4.68</v>
      </c>
      <c r="M19" s="10">
        <f>IF(J19="200",HLOOKUP($M$4,Fancoils!$B$12:$I$21,2,FALSE),IF(J19="300",HLOOKUP($M$4,Fancoils!$B$12:$I$21,3,FALSE),IF(J19="400",HLOOKUP($M$4,Fancoils!$B$12:$I$21,4,FALSE),IF(J19="500",HLOOKUP($M$4,Fancoils!$B$12:$I$21,5,FALSE),IF(J19="600",HLOOKUP($M$4,Fancoils!$B$12:$I$21,6,FALSE),IF(J19="800",HLOOKUP($M$4,Fancoils!$B$12:$I$21,7,FALSE),IF(J19="1000",HLOOKUP($M$4,Fancoils!$B$12:$I$21,8,FALSE),IF(J19="1200",HLOOKUP($M$4,Fancoils!$B$12:$I$21,9,FALSE),IF(J19="1400",HLOOKUP($M$4,Fancoils!$B$12:$I$21,10,FALSE))))))))))</f>
        <v>5.76</v>
      </c>
      <c r="N19" s="10">
        <f>IF(J19="200",HLOOKUP($N$4,Fancoils!$B$12:$I$21,2,FALSE),IF(J19="300",HLOOKUP($N$4,Fancoils!$B$12:$I$21,3,FALSE),IF(J19="400",HLOOKUP($N$4,Fancoils!$B$12:$I$21,4,FALSE),IF(J19="500",HLOOKUP($N$4,Fancoils!$B$12:$I$21,5,FALSE),IF(J19="600",HLOOKUP($N$4,Fancoils!$B$12:$I$21,6,FALSE),IF(J19="800",HLOOKUP($N$4,Fancoils!$B$12:$I$21,7,FALSE),IF(J19="1000",HLOOKUP($N$4,Fancoils!$B$12:$I$21,8,FALSE),IF(J19="1200",HLOOKUP($N$4,Fancoils!$B$12:$I$21,9,FALSE),IF(J19="1400",HLOOKUP($N$4,Fancoils!$B$12:$I$21,10,FALSE))))))))))</f>
        <v>1360</v>
      </c>
      <c r="O19" s="36">
        <f>REPORTE!P20</f>
        <v>12</v>
      </c>
      <c r="P19" s="36">
        <f t="shared" si="8"/>
        <v>43.2</v>
      </c>
      <c r="Q19" s="10">
        <f>IF(J19="200",HLOOKUP($Q$4,Fancoils!$B$12:$I$21,2,FALSE),IF(J19="300",HLOOKUP($Q$4,Fancoils!$B$12:$I$21,3,FALSE),IF(J19="400",HLOOKUP($Q$4,Fancoils!$B$12:$I$21,4,FALSE),IF(J19="500",HLOOKUP($Q$4,Fancoils!$B$12:$I$21,5,FALSE),IF(J19="600",HLOOKUP($Q$4,Fancoils!$B$12:$I$21,6,FALSE),IF(J19="800",HLOOKUP($Q$4,Fancoils!$B$12:$I$21,7,FALSE),IF(J19="1000",HLOOKUP($Q$4,Fancoils!$B$12:$I$21,8,FALSE),IF(J19="1200",HLOOKUP($Q$4,Fancoils!$B$12:$I$21,9,FALSE),IF(J19="1400",HLOOKUP($Q$4,Fancoils!$B$12:$I$21,10,FALSE))))))))))</f>
        <v>198</v>
      </c>
      <c r="R19" s="17" t="s">
        <v>18</v>
      </c>
      <c r="S19" s="17">
        <v>4</v>
      </c>
      <c r="T19" s="22">
        <f t="shared" si="9"/>
        <v>340</v>
      </c>
      <c r="U19" s="20">
        <f t="shared" si="10"/>
        <v>1316.8</v>
      </c>
      <c r="V19" s="59">
        <f t="shared" si="5"/>
        <v>5.666666666666667</v>
      </c>
      <c r="W19" s="12">
        <f>IF(J19="200",HLOOKUP($W$4,Fancoils!$B$12:$S$21,2,FALSE),IF(J19="300",HLOOKUP($W$4,Fancoils!$B$12:$S$21,3,FALSE),IF(J19="400",HLOOKUP($W$4,Fancoils!$B$12:$S$21,4,FALSE),IF(J19="500",HLOOKUP($W$4,Fancoils!$B$12:$S$21,5,FALSE),IF(J19="600",HLOOKUP($W$4,Fancoils!$B$12:$S$21,6,FALSE),IF(J19="800",HLOOKUP($W$4,Fancoils!$B$12:$S$21,7,FALSE),IF(J19="1000",HLOOKUP($W$4,Fancoils!$B$12:$S$21,8,FALSE),IF(J19="1200",HLOOKUP($W$4,Fancoils!$B$12:$S$21,9,FALSE),IF(J19="1400",HLOOKUP($W$4,Fancoils!$B$12:$S$21,10,FALSE))))))))))</f>
        <v>19.5</v>
      </c>
      <c r="X19" s="12">
        <f>IF(J19="200",HLOOKUP($X$4,Fancoils!$B$12:$S$21,2,FALSE),IF(J19="300",HLOOKUP($X$4,Fancoils!$B$12:$S$21,3,FALSE),IF(J19="400",HLOOKUP($X$4,Fancoils!$B$12:$S$21,4,FALSE),IF(J19="500",HLOOKUP($X$4,Fancoils!$B$12:$S$21,5,FALSE),IF(J19="600",HLOOKUP($X$4,Fancoils!$B$12:$S$21,6,FALSE),IF(J19="800",HLOOKUP($X$4,Fancoils!$B$12:$S$21,7,FALSE),IF(J19="1000",HLOOKUP($X$4,Fancoils!$B$12:$S$21,8,FALSE),IF(J19="1200",HLOOKUP($X$4,Fancoils!$B$12:$S$21,9,FALSE),IF(J19="1400",HLOOKUP($X$4,Fancoils!$B$12:$S$21,10,FALSE))))))))))</f>
        <v>13.833333333333332</v>
      </c>
      <c r="Y19" s="33" t="s">
        <v>357</v>
      </c>
      <c r="Z19" s="2">
        <f t="shared" si="6"/>
        <v>0.72000000000000008</v>
      </c>
      <c r="AA19">
        <f>REPORTE!M20</f>
        <v>333</v>
      </c>
    </row>
    <row r="20" spans="1:30" outlineLevel="1" collapsed="1" x14ac:dyDescent="0.25">
      <c r="B20" s="10">
        <v>1</v>
      </c>
      <c r="C20" s="11" t="str">
        <f>REPORTE!A21</f>
        <v xml:space="preserve">1P 19 ESPERA PNAC FARMA </v>
      </c>
      <c r="D20" s="10" t="s">
        <v>320</v>
      </c>
      <c r="E20" s="10" t="s">
        <v>12</v>
      </c>
      <c r="F20" s="12">
        <f>REPORTE!B21</f>
        <v>5.8</v>
      </c>
      <c r="G20" s="12">
        <f>REPORTE!C21</f>
        <v>5.2</v>
      </c>
      <c r="H20" s="12">
        <f>REPORTE!J21</f>
        <v>6.9</v>
      </c>
      <c r="I20" s="12">
        <f>AA20*3.6</f>
        <v>1807.2</v>
      </c>
      <c r="J20" s="12" t="str">
        <f t="shared" si="7"/>
        <v>1000</v>
      </c>
      <c r="K20" s="10">
        <f>IF(J20="200",HLOOKUP($K$4,Fancoils!$B$12:$I$21,2,FALSE),IF(J20="300",HLOOKUP($K$4,Fancoils!$B$12:$I$21,3,FALSE),IF(J20="400",HLOOKUP($K$4,Fancoils!$B$12:$I$21,4,FALSE),IF(J20="500",HLOOKUP($K$4,Fancoils!$B$12:$I$21,5,FALSE),IF(J20="600",HLOOKUP($K$4,Fancoils!$B$12:$I$21,6,FALSE),IF(J20="800",HLOOKUP($K$4,Fancoils!$B$12:$I$21,7,FALSE),IF(J20="1000",HLOOKUP($K$4,Fancoils!$B$12:$I$21,8,FALSE),IF(J20="1200",HLOOKUP($K$4,Fancoils!$B$12:$I$21,9,FALSE),IF(J20="1400",HLOOKUP($K$4,Fancoils!$B$12:$I$21,10,FALSE))))))))))</f>
        <v>7.8</v>
      </c>
      <c r="L20" s="10">
        <f>IF(J20="200",HLOOKUP($L$4,Fancoils!$B$12:$I$21,2,FALSE),IF(J20="300",HLOOKUP($L$4,Fancoils!$B$12:$I$21,3,FALSE),IF(J20="400",HLOOKUP($L$4,Fancoils!$B$12:$I$21,4,FALSE),IF(J20="500",HLOOKUP($L$4,Fancoils!$B$12:$I$21,5,FALSE),IF(J20="600",HLOOKUP($L$4,Fancoils!$B$12:$I$21,6,FALSE),IF(J20="800",HLOOKUP($L$4,Fancoils!$B$12:$I$21,7,FALSE),IF(J20="1000",HLOOKUP($L$4,Fancoils!$B$12:$I$21,8,FALSE),IF(J20="1200",HLOOKUP($L$4,Fancoils!$B$12:$I$21,9,FALSE),IF(J20="1400",HLOOKUP($L$4,Fancoils!$B$12:$I$21,10,FALSE))))))))))</f>
        <v>5.37</v>
      </c>
      <c r="M20" s="10">
        <f>IF(J20="200",HLOOKUP($M$4,Fancoils!$B$12:$I$21,2,FALSE),IF(J20="300",HLOOKUP($M$4,Fancoils!$B$12:$I$21,3,FALSE),IF(J20="400",HLOOKUP($M$4,Fancoils!$B$12:$I$21,4,FALSE),IF(J20="500",HLOOKUP($M$4,Fancoils!$B$12:$I$21,5,FALSE),IF(J20="600",HLOOKUP($M$4,Fancoils!$B$12:$I$21,6,FALSE),IF(J20="800",HLOOKUP($M$4,Fancoils!$B$12:$I$21,7,FALSE),IF(J20="1000",HLOOKUP($M$4,Fancoils!$B$12:$I$21,8,FALSE),IF(J20="1200",HLOOKUP($M$4,Fancoils!$B$12:$I$21,9,FALSE),IF(J20="1400",HLOOKUP($M$4,Fancoils!$B$12:$I$21,10,FALSE))))))))))</f>
        <v>6.48</v>
      </c>
      <c r="N20" s="10">
        <f>IF(J20="200",HLOOKUP($N$4,Fancoils!$B$12:$I$21,2,FALSE),IF(J20="300",HLOOKUP($N$4,Fancoils!$B$12:$I$21,3,FALSE),IF(J20="400",HLOOKUP($N$4,Fancoils!$B$12:$I$21,4,FALSE),IF(J20="500",HLOOKUP($N$4,Fancoils!$B$12:$I$21,5,FALSE),IF(J20="600",HLOOKUP($N$4,Fancoils!$B$12:$I$21,6,FALSE),IF(J20="800",HLOOKUP($N$4,Fancoils!$B$12:$I$21,7,FALSE),IF(J20="1000",HLOOKUP($N$4,Fancoils!$B$12:$I$21,8,FALSE),IF(J20="1200",HLOOKUP($N$4,Fancoils!$B$12:$I$21,9,FALSE),IF(J20="1400",HLOOKUP($N$4,Fancoils!$B$12:$I$21,10,FALSE))))))))))</f>
        <v>1700</v>
      </c>
      <c r="O20" s="36">
        <f>REPORTE!P21</f>
        <v>284</v>
      </c>
      <c r="P20" s="14">
        <f t="shared" si="8"/>
        <v>1022.4</v>
      </c>
      <c r="Q20" s="10">
        <f>IF(J20="200",HLOOKUP($Q$4,Fancoils!$B$12:$I$21,2,FALSE),IF(J20="300",HLOOKUP($Q$4,Fancoils!$B$12:$I$21,3,FALSE),IF(J20="400",HLOOKUP($Q$4,Fancoils!$B$12:$I$21,4,FALSE),IF(J20="500",HLOOKUP($Q$4,Fancoils!$B$12:$I$21,5,FALSE),IF(J20="600",HLOOKUP($Q$4,Fancoils!$B$12:$I$21,6,FALSE),IF(J20="800",HLOOKUP($Q$4,Fancoils!$B$12:$I$21,7,FALSE),IF(J20="1000",HLOOKUP($Q$4,Fancoils!$B$12:$I$21,8,FALSE),IF(J20="1200",HLOOKUP($Q$4,Fancoils!$B$12:$I$21,9,FALSE),IF(J20="1400",HLOOKUP($Q$4,Fancoils!$B$12:$I$21,10,FALSE))))))))))</f>
        <v>200</v>
      </c>
      <c r="R20" s="10" t="s">
        <v>18</v>
      </c>
      <c r="S20" s="10">
        <v>3</v>
      </c>
      <c r="T20" s="73">
        <f t="shared" si="9"/>
        <v>566.66666666666663</v>
      </c>
      <c r="U20" s="13">
        <f t="shared" si="10"/>
        <v>677.6</v>
      </c>
      <c r="V20" s="59">
        <f t="shared" si="5"/>
        <v>9.4444444444444446</v>
      </c>
      <c r="W20" s="12">
        <f>IF(J20="200",HLOOKUP($W$4,Fancoils!$B$12:$S$21,2,FALSE),IF(J20="300",HLOOKUP($W$4,Fancoils!$B$12:$S$21,3,FALSE),IF(J20="400",HLOOKUP($W$4,Fancoils!$B$12:$S$21,4,FALSE),IF(J20="500",HLOOKUP($W$4,Fancoils!$B$12:$S$21,5,FALSE),IF(J20="600",HLOOKUP($W$4,Fancoils!$B$12:$S$21,6,FALSE),IF(J20="800",HLOOKUP($W$4,Fancoils!$B$12:$S$21,7,FALSE),IF(J20="1000",HLOOKUP($W$4,Fancoils!$B$12:$S$21,8,FALSE),IF(J20="1200",HLOOKUP($W$4,Fancoils!$B$12:$S$21,9,FALSE),IF(J20="1400",HLOOKUP($W$4,Fancoils!$B$12:$S$21,10,FALSE))))))))))</f>
        <v>22.366666666666667</v>
      </c>
      <c r="X20" s="12">
        <f>IF(J20="200",HLOOKUP($X$4,Fancoils!$B$12:$S$21,2,FALSE),IF(J20="300",HLOOKUP($X$4,Fancoils!$B$12:$S$21,3,FALSE),IF(J20="400",HLOOKUP($X$4,Fancoils!$B$12:$S$21,4,FALSE),IF(J20="500",HLOOKUP($X$4,Fancoils!$B$12:$S$21,5,FALSE),IF(J20="600",HLOOKUP($X$4,Fancoils!$B$12:$S$21,6,FALSE),IF(J20="800",HLOOKUP($X$4,Fancoils!$B$12:$S$21,7,FALSE),IF(J20="1000",HLOOKUP($X$4,Fancoils!$B$12:$S$21,8,FALSE),IF(J20="1200",HLOOKUP($X$4,Fancoils!$B$12:$S$21,9,FALSE),IF(J20="1400",HLOOKUP($X$4,Fancoils!$B$12:$S$21,10,FALSE))))))))))</f>
        <v>15.500000000000002</v>
      </c>
      <c r="Y20" s="33" t="s">
        <v>122</v>
      </c>
      <c r="Z20" s="2">
        <f t="shared" si="6"/>
        <v>17.04</v>
      </c>
      <c r="AA20">
        <f>REPORTE!M21</f>
        <v>502</v>
      </c>
    </row>
    <row r="21" spans="1:30" outlineLevel="1" x14ac:dyDescent="0.25">
      <c r="B21" s="10">
        <v>1</v>
      </c>
      <c r="C21" s="11" t="str">
        <f>REPORTE!A22</f>
        <v xml:space="preserve">1P 17 BOX QUIM FARM     </v>
      </c>
      <c r="D21" s="96" t="s">
        <v>319</v>
      </c>
      <c r="E21" s="10" t="s">
        <v>12</v>
      </c>
      <c r="F21" s="12">
        <f>REPORTE!B22</f>
        <v>1.8</v>
      </c>
      <c r="G21" s="12">
        <f>REPORTE!C22</f>
        <v>1.8</v>
      </c>
      <c r="H21" s="12">
        <f>REPORTE!J22</f>
        <v>0.3</v>
      </c>
      <c r="I21" s="12">
        <f>AA21*3.6</f>
        <v>561.6</v>
      </c>
      <c r="J21" s="12" t="str">
        <f t="shared" si="7"/>
        <v>300</v>
      </c>
      <c r="K21" s="10">
        <f>IF(J21="200",HLOOKUP($K$4,Fancoils!$B$12:$I$21,2,FALSE),IF(J21="300",HLOOKUP($K$4,Fancoils!$B$12:$I$21,3,FALSE),IF(J21="400",HLOOKUP($K$4,Fancoils!$B$12:$I$21,4,FALSE),IF(J21="500",HLOOKUP($K$4,Fancoils!$B$12:$I$21,5,FALSE),IF(J21="600",HLOOKUP($K$4,Fancoils!$B$12:$I$21,6,FALSE),IF(J21="800",HLOOKUP($K$4,Fancoils!$B$12:$I$21,7,FALSE),IF(J21="1000",HLOOKUP($K$4,Fancoils!$B$12:$I$21,8,FALSE),IF(J21="1200",HLOOKUP($K$4,Fancoils!$B$12:$I$21,9,FALSE),IF(J21="1400",HLOOKUP($K$4,Fancoils!$B$12:$I$21,10,FALSE))))))))))</f>
        <v>2.7</v>
      </c>
      <c r="L21" s="10">
        <f>IF(J21="200",HLOOKUP($L$4,Fancoils!$B$12:$I$21,2,FALSE),IF(J21="300",HLOOKUP($L$4,Fancoils!$B$12:$I$21,3,FALSE),IF(J21="400",HLOOKUP($L$4,Fancoils!$B$12:$I$21,4,FALSE),IF(J21="500",HLOOKUP($L$4,Fancoils!$B$12:$I$21,5,FALSE),IF(J21="600",HLOOKUP($L$4,Fancoils!$B$12:$I$21,6,FALSE),IF(J21="800",HLOOKUP($L$4,Fancoils!$B$12:$I$21,7,FALSE),IF(J21="1000",HLOOKUP($L$4,Fancoils!$B$12:$I$21,8,FALSE),IF(J21="1200",HLOOKUP($L$4,Fancoils!$B$12:$I$21,9,FALSE),IF(J21="1400",HLOOKUP($L$4,Fancoils!$B$12:$I$21,10,FALSE))))))))))</f>
        <v>1.86</v>
      </c>
      <c r="M21" s="10">
        <f>IF(J21="200",HLOOKUP($M$4,Fancoils!$B$12:$I$21,2,FALSE),IF(J21="300",HLOOKUP($M$4,Fancoils!$B$12:$I$21,3,FALSE),IF(J21="400",HLOOKUP($M$4,Fancoils!$B$12:$I$21,4,FALSE),IF(J21="500",HLOOKUP($M$4,Fancoils!$B$12:$I$21,5,FALSE),IF(J21="600",HLOOKUP($M$4,Fancoils!$B$12:$I$21,6,FALSE),IF(J21="800",HLOOKUP($M$4,Fancoils!$B$12:$I$21,7,FALSE),IF(J21="1000",HLOOKUP($M$4,Fancoils!$B$12:$I$21,8,FALSE),IF(J21="1200",HLOOKUP($M$4,Fancoils!$B$12:$I$21,9,FALSE),IF(J21="1400",HLOOKUP($M$4,Fancoils!$B$12:$I$21,10,FALSE))))))))))</f>
        <v>2.4</v>
      </c>
      <c r="N21" s="10">
        <f>IF(J21="200",HLOOKUP($N$4,Fancoils!$B$12:$I$21,2,FALSE),IF(J21="300",HLOOKUP($N$4,Fancoils!$B$12:$I$21,3,FALSE),IF(J21="400",HLOOKUP($N$4,Fancoils!$B$12:$I$21,4,FALSE),IF(J21="500",HLOOKUP($N$4,Fancoils!$B$12:$I$21,5,FALSE),IF(J21="600",HLOOKUP($N$4,Fancoils!$B$12:$I$21,6,FALSE),IF(J21="800",HLOOKUP($N$4,Fancoils!$B$12:$I$21,7,FALSE),IF(J21="1000",HLOOKUP($N$4,Fancoils!$B$12:$I$21,8,FALSE),IF(J21="1200",HLOOKUP($N$4,Fancoils!$B$12:$I$21,9,FALSE),IF(J21="1400",HLOOKUP($N$4,Fancoils!$B$12:$I$21,10,FALSE))))))))))</f>
        <v>510</v>
      </c>
      <c r="O21" s="36">
        <f>REPORTE!P22</f>
        <v>6</v>
      </c>
      <c r="P21" s="14">
        <f t="shared" si="8"/>
        <v>21.6</v>
      </c>
      <c r="Q21" s="10">
        <f>IF(J21="200",HLOOKUP($Q$4,Fancoils!$B$12:$I$21,2,FALSE),IF(J21="300",HLOOKUP($Q$4,Fancoils!$B$12:$I$21,3,FALSE),IF(J21="400",HLOOKUP($Q$4,Fancoils!$B$12:$I$21,4,FALSE),IF(J21="500",HLOOKUP($Q$4,Fancoils!$B$12:$I$21,5,FALSE),IF(J21="600",HLOOKUP($Q$4,Fancoils!$B$12:$I$21,6,FALSE),IF(J21="800",HLOOKUP($Q$4,Fancoils!$B$12:$I$21,7,FALSE),IF(J21="1000",HLOOKUP($Q$4,Fancoils!$B$12:$I$21,8,FALSE),IF(J21="1200",HLOOKUP($Q$4,Fancoils!$B$12:$I$21,9,FALSE),IF(J21="1400",HLOOKUP($Q$4,Fancoils!$B$12:$I$21,10,FALSE))))))))))</f>
        <v>50</v>
      </c>
      <c r="R21" s="10" t="s">
        <v>18</v>
      </c>
      <c r="S21" s="10">
        <v>2</v>
      </c>
      <c r="T21" s="22">
        <f t="shared" si="9"/>
        <v>255</v>
      </c>
      <c r="U21" s="13">
        <f t="shared" si="10"/>
        <v>488.4</v>
      </c>
      <c r="V21" s="59">
        <f t="shared" si="5"/>
        <v>4.25</v>
      </c>
      <c r="W21" s="12">
        <f>IF(J21="200",HLOOKUP($W$4,Fancoils!$B$12:$S$21,2,FALSE),IF(J21="300",HLOOKUP($W$4,Fancoils!$B$12:$S$21,3,FALSE),IF(J21="400",HLOOKUP($W$4,Fancoils!$B$12:$S$21,4,FALSE),IF(J21="500",HLOOKUP($W$4,Fancoils!$B$12:$S$21,5,FALSE),IF(J21="600",HLOOKUP($W$4,Fancoils!$B$12:$S$21,6,FALSE),IF(J21="800",HLOOKUP($W$4,Fancoils!$B$12:$S$21,7,FALSE),IF(J21="1000",HLOOKUP($W$4,Fancoils!$B$12:$S$21,8,FALSE),IF(J21="1200",HLOOKUP($W$4,Fancoils!$B$12:$S$21,9,FALSE),IF(J21="1400",HLOOKUP($W$4,Fancoils!$B$12:$S$21,10,FALSE))))))))))</f>
        <v>7.7333333333333334</v>
      </c>
      <c r="X21" s="12">
        <f>IF(J21="200",HLOOKUP($X$4,Fancoils!$B$12:$S$21,2,FALSE),IF(J21="300",HLOOKUP($X$4,Fancoils!$B$12:$S$21,3,FALSE),IF(J21="400",HLOOKUP($X$4,Fancoils!$B$12:$S$21,4,FALSE),IF(J21="500",HLOOKUP($X$4,Fancoils!$B$12:$S$21,5,FALSE),IF(J21="600",HLOOKUP($X$4,Fancoils!$B$12:$S$21,6,FALSE),IF(J21="800",HLOOKUP($X$4,Fancoils!$B$12:$S$21,7,FALSE),IF(J21="1000",HLOOKUP($X$4,Fancoils!$B$12:$S$21,8,FALSE),IF(J21="1200",HLOOKUP($X$4,Fancoils!$B$12:$S$21,9,FALSE),IF(J21="1400",HLOOKUP($X$4,Fancoils!$B$12:$S$21,10,FALSE))))))))))</f>
        <v>5.666666666666667</v>
      </c>
      <c r="Y21" s="33" t="s">
        <v>357</v>
      </c>
      <c r="Z21" s="2">
        <f t="shared" si="6"/>
        <v>0.36000000000000004</v>
      </c>
      <c r="AA21">
        <f>REPORTE!M22</f>
        <v>156</v>
      </c>
    </row>
    <row r="22" spans="1:30" s="33" customFormat="1" outlineLevel="1" x14ac:dyDescent="0.25">
      <c r="B22" s="10">
        <v>1</v>
      </c>
      <c r="C22" s="11" t="str">
        <f>REPORTE!A23</f>
        <v xml:space="preserve">1P 18 BOX QUIM FARM     </v>
      </c>
      <c r="D22" s="97"/>
      <c r="E22" s="10"/>
      <c r="F22" s="12"/>
      <c r="G22" s="12"/>
      <c r="H22" s="12"/>
      <c r="I22" s="12"/>
      <c r="J22" s="12"/>
      <c r="K22" s="10"/>
      <c r="L22" s="10"/>
      <c r="M22" s="10"/>
      <c r="N22" s="10"/>
      <c r="O22" s="36"/>
      <c r="P22" s="36"/>
      <c r="Q22" s="10"/>
      <c r="R22" s="17"/>
      <c r="S22" s="17"/>
      <c r="T22" s="37"/>
      <c r="U22" s="20"/>
      <c r="V22" s="59">
        <f t="shared" si="5"/>
        <v>0</v>
      </c>
      <c r="W22" s="12"/>
      <c r="X22" s="12"/>
      <c r="Z22" s="2"/>
      <c r="AA22">
        <f>REPORTE!M23</f>
        <v>0</v>
      </c>
    </row>
    <row r="23" spans="1:30" s="33" customFormat="1" outlineLevel="1" x14ac:dyDescent="0.25">
      <c r="B23" s="10">
        <v>1</v>
      </c>
      <c r="C23" s="11" t="str">
        <f>REPORTE!A24</f>
        <v xml:space="preserve">1P 20 SALA MULTIUSO     </v>
      </c>
      <c r="D23" s="10" t="s">
        <v>321</v>
      </c>
      <c r="E23" s="10" t="s">
        <v>12</v>
      </c>
      <c r="F23" s="12">
        <f>REPORTE!B24</f>
        <v>10.7</v>
      </c>
      <c r="G23" s="12">
        <f>REPORTE!C24</f>
        <v>9.9</v>
      </c>
      <c r="H23" s="12">
        <f>REPORTE!J24</f>
        <v>2.7</v>
      </c>
      <c r="I23" s="12">
        <f>AA23*3.6</f>
        <v>3063.6</v>
      </c>
      <c r="J23" s="12" t="str">
        <f t="shared" si="7"/>
        <v>1400</v>
      </c>
      <c r="K23" s="10">
        <f>IF(J23="200",HLOOKUP($K$4,Fancoils!$B$12:$I$21,2,FALSE),IF(J23="300",HLOOKUP($K$4,Fancoils!$B$12:$I$21,3,FALSE),IF(J23="400",HLOOKUP($K$4,Fancoils!$B$12:$I$21,4,FALSE),IF(J23="500",HLOOKUP($K$4,Fancoils!$B$12:$I$21,5,FALSE),IF(J23="600",HLOOKUP($K$4,Fancoils!$B$12:$I$21,6,FALSE),IF(J23="800",HLOOKUP($K$4,Fancoils!$B$12:$I$21,7,FALSE),IF(J23="1000",HLOOKUP($K$4,Fancoils!$B$12:$I$21,8,FALSE),IF(J23="1200",HLOOKUP($K$4,Fancoils!$B$12:$I$21,9,FALSE),IF(J23="1400",HLOOKUP($K$4,Fancoils!$B$12:$I$21,10,FALSE))))))))))</f>
        <v>11.5</v>
      </c>
      <c r="L23" s="10">
        <f>IF(J23="200",HLOOKUP($L$4,Fancoils!$B$12:$I$21,2,FALSE),IF(J23="300",HLOOKUP($L$4,Fancoils!$B$12:$I$21,3,FALSE),IF(J23="400",HLOOKUP($L$4,Fancoils!$B$12:$I$21,4,FALSE),IF(J23="500",HLOOKUP($L$4,Fancoils!$B$12:$I$21,5,FALSE),IF(J23="600",HLOOKUP($L$4,Fancoils!$B$12:$I$21,6,FALSE),IF(J23="800",HLOOKUP($L$4,Fancoils!$B$12:$I$21,7,FALSE),IF(J23="1000",HLOOKUP($L$4,Fancoils!$B$12:$I$21,8,FALSE),IF(J23="1200",HLOOKUP($L$4,Fancoils!$B$12:$I$21,9,FALSE),IF(J23="1400",HLOOKUP($L$4,Fancoils!$B$12:$I$21,10,FALSE))))))))))</f>
        <v>7.92</v>
      </c>
      <c r="M23" s="10">
        <f>IF(J23="200",HLOOKUP($M$4,Fancoils!$B$12:$I$21,2,FALSE),IF(J23="300",HLOOKUP($M$4,Fancoils!$B$12:$I$21,3,FALSE),IF(J23="400",HLOOKUP($M$4,Fancoils!$B$12:$I$21,4,FALSE),IF(J23="500",HLOOKUP($M$4,Fancoils!$B$12:$I$21,5,FALSE),IF(J23="600",HLOOKUP($M$4,Fancoils!$B$12:$I$21,6,FALSE),IF(J23="800",HLOOKUP($M$4,Fancoils!$B$12:$I$21,7,FALSE),IF(J23="1000",HLOOKUP($M$4,Fancoils!$B$12:$I$21,8,FALSE),IF(J23="1200",HLOOKUP($M$4,Fancoils!$B$12:$I$21,9,FALSE),IF(J23="1400",HLOOKUP($M$4,Fancoils!$B$12:$I$21,10,FALSE))))))))))</f>
        <v>9.3000000000000007</v>
      </c>
      <c r="N23" s="10">
        <f>IF(J23="200",HLOOKUP($N$4,Fancoils!$B$12:$I$21,2,FALSE),IF(J23="300",HLOOKUP($N$4,Fancoils!$B$12:$I$21,3,FALSE),IF(J23="400",HLOOKUP($N$4,Fancoils!$B$12:$I$21,4,FALSE),IF(J23="500",HLOOKUP($N$4,Fancoils!$B$12:$I$21,5,FALSE),IF(J23="600",HLOOKUP($N$4,Fancoils!$B$12:$I$21,6,FALSE),IF(J23="800",HLOOKUP($N$4,Fancoils!$B$12:$I$21,7,FALSE),IF(J23="1000",HLOOKUP($N$4,Fancoils!$B$12:$I$21,8,FALSE),IF(J23="1200",HLOOKUP($N$4,Fancoils!$B$12:$I$21,9,FALSE),IF(J23="1400",HLOOKUP($N$4,Fancoils!$B$12:$I$21,10,FALSE))))))))))</f>
        <v>2380</v>
      </c>
      <c r="O23" s="36">
        <f>REPORTE!P24</f>
        <v>64</v>
      </c>
      <c r="P23" s="36">
        <f t="shared" ref="P23" si="19">O23*3.6</f>
        <v>230.4</v>
      </c>
      <c r="Q23" s="10">
        <f>IF(J23="200",HLOOKUP($Q$4,Fancoils!$B$12:$I$21,2,FALSE),IF(J23="300",HLOOKUP($Q$4,Fancoils!$B$12:$I$21,3,FALSE),IF(J23="400",HLOOKUP($Q$4,Fancoils!$B$12:$I$21,4,FALSE),IF(J23="500",HLOOKUP($Q$4,Fancoils!$B$12:$I$21,5,FALSE),IF(J23="600",HLOOKUP($Q$4,Fancoils!$B$12:$I$21,6,FALSE),IF(J23="800",HLOOKUP($Q$4,Fancoils!$B$12:$I$21,7,FALSE),IF(J23="1000",HLOOKUP($Q$4,Fancoils!$B$12:$I$21,8,FALSE),IF(J23="1200",HLOOKUP($Q$4,Fancoils!$B$12:$I$21,9,FALSE),IF(J23="1400",HLOOKUP($Q$4,Fancoils!$B$12:$I$21,10,FALSE))))))))))</f>
        <v>240</v>
      </c>
      <c r="R23" s="17" t="s">
        <v>18</v>
      </c>
      <c r="S23" s="17">
        <v>6</v>
      </c>
      <c r="T23" s="72">
        <f t="shared" ref="T23" si="20">N23/S23</f>
        <v>396.66666666666669</v>
      </c>
      <c r="U23" s="20">
        <f t="shared" ref="U23" si="21">N23-P23</f>
        <v>2149.6</v>
      </c>
      <c r="V23" s="59">
        <f t="shared" si="5"/>
        <v>6.6111111111111116</v>
      </c>
      <c r="W23" s="12">
        <f>IF(J23="200",HLOOKUP($W$4,Fancoils!$B$12:$S$21,2,FALSE),IF(J23="300",HLOOKUP($W$4,Fancoils!$B$12:$S$21,3,FALSE),IF(J23="400",HLOOKUP($W$4,Fancoils!$B$12:$S$21,4,FALSE),IF(J23="500",HLOOKUP($W$4,Fancoils!$B$12:$S$21,5,FALSE),IF(J23="600",HLOOKUP($W$4,Fancoils!$B$12:$S$21,6,FALSE),IF(J23="800",HLOOKUP($W$4,Fancoils!$B$12:$S$21,7,FALSE),IF(J23="1000",HLOOKUP($W$4,Fancoils!$B$12:$S$21,8,FALSE),IF(J23="1200",HLOOKUP($W$4,Fancoils!$B$12:$S$21,9,FALSE),IF(J23="1400",HLOOKUP($W$4,Fancoils!$B$12:$S$21,10,FALSE))))))))))</f>
        <v>32.966666666666669</v>
      </c>
      <c r="X23" s="12">
        <f>IF(J23="200",HLOOKUP($X$4,Fancoils!$B$12:$S$21,2,FALSE),IF(J23="300",HLOOKUP($X$4,Fancoils!$B$12:$S$21,3,FALSE),IF(J23="400",HLOOKUP($X$4,Fancoils!$B$12:$S$21,4,FALSE),IF(J23="500",HLOOKUP($X$4,Fancoils!$B$12:$S$21,5,FALSE),IF(J23="600",HLOOKUP($X$4,Fancoils!$B$12:$S$21,6,FALSE),IF(J23="800",HLOOKUP($X$4,Fancoils!$B$12:$S$21,7,FALSE),IF(J23="1000",HLOOKUP($X$4,Fancoils!$B$12:$S$21,8,FALSE),IF(J23="1200",HLOOKUP($X$4,Fancoils!$B$12:$S$21,9,FALSE),IF(J23="1400",HLOOKUP($X$4,Fancoils!$B$12:$S$21,10,FALSE))))))))))</f>
        <v>22.166666666666668</v>
      </c>
      <c r="Y23" s="33" t="s">
        <v>111</v>
      </c>
      <c r="Z23" s="2">
        <f t="shared" si="6"/>
        <v>3.8400000000000003</v>
      </c>
      <c r="AA23">
        <f>REPORTE!M24</f>
        <v>851</v>
      </c>
      <c r="AB23" s="33" t="s">
        <v>375</v>
      </c>
      <c r="AC23" s="33">
        <f>AB18+AB27</f>
        <v>52.53</v>
      </c>
      <c r="AD23" s="33" t="s">
        <v>113</v>
      </c>
    </row>
    <row r="24" spans="1:30" s="33" customFormat="1" outlineLevel="1" x14ac:dyDescent="0.25">
      <c r="B24" s="10">
        <v>1</v>
      </c>
      <c r="C24" s="11" t="str">
        <f>REPORTE!A25</f>
        <v>1P 23 TRABAJO CLIN GRUPA</v>
      </c>
      <c r="D24" s="10" t="s">
        <v>323</v>
      </c>
      <c r="E24" s="10" t="s">
        <v>12</v>
      </c>
      <c r="F24" s="12">
        <f>REPORTE!B25</f>
        <v>0.9</v>
      </c>
      <c r="G24" s="12">
        <f>REPORTE!C25</f>
        <v>0.7</v>
      </c>
      <c r="H24" s="12">
        <f>REPORTE!J25</f>
        <v>0.5</v>
      </c>
      <c r="I24" s="12">
        <f>AA24*3.6</f>
        <v>216</v>
      </c>
      <c r="J24" s="12" t="str">
        <f t="shared" si="7"/>
        <v>200</v>
      </c>
      <c r="K24" s="10">
        <f>IF(J24="200",HLOOKUP($K$4,Fancoils!$B$12:$I$21,2,FALSE),IF(J24="300",HLOOKUP($K$4,Fancoils!$B$12:$I$21,3,FALSE),IF(J24="400",HLOOKUP($K$4,Fancoils!$B$12:$I$21,4,FALSE),IF(J24="500",HLOOKUP($K$4,Fancoils!$B$12:$I$21,5,FALSE),IF(J24="600",HLOOKUP($K$4,Fancoils!$B$12:$I$21,6,FALSE),IF(J24="800",HLOOKUP($K$4,Fancoils!$B$12:$I$21,7,FALSE),IF(J24="1000",HLOOKUP($K$4,Fancoils!$B$12:$I$21,8,FALSE),IF(J24="1200",HLOOKUP($K$4,Fancoils!$B$12:$I$21,9,FALSE),IF(J24="1400",HLOOKUP($K$4,Fancoils!$B$12:$I$21,10,FALSE))))))))))</f>
        <v>2</v>
      </c>
      <c r="L24" s="10">
        <f>IF(J24="200",HLOOKUP($L$4,Fancoils!$B$12:$I$21,2,FALSE),IF(J24="300",HLOOKUP($L$4,Fancoils!$B$12:$I$21,3,FALSE),IF(J24="400",HLOOKUP($L$4,Fancoils!$B$12:$I$21,4,FALSE),IF(J24="500",HLOOKUP($L$4,Fancoils!$B$12:$I$21,5,FALSE),IF(J24="600",HLOOKUP($L$4,Fancoils!$B$12:$I$21,6,FALSE),IF(J24="800",HLOOKUP($L$4,Fancoils!$B$12:$I$21,7,FALSE),IF(J24="1000",HLOOKUP($L$4,Fancoils!$B$12:$I$21,8,FALSE),IF(J24="1200",HLOOKUP($L$4,Fancoils!$B$12:$I$21,9,FALSE),IF(J24="1400",HLOOKUP($L$4,Fancoils!$B$12:$I$21,10,FALSE))))))))))</f>
        <v>1.38</v>
      </c>
      <c r="M24" s="10">
        <f>IF(J24="200",HLOOKUP($M$4,Fancoils!$B$12:$I$21,2,FALSE),IF(J24="300",HLOOKUP($M$4,Fancoils!$B$12:$I$21,3,FALSE),IF(J24="400",HLOOKUP($M$4,Fancoils!$B$12:$I$21,4,FALSE),IF(J24="500",HLOOKUP($M$4,Fancoils!$B$12:$I$21,5,FALSE),IF(J24="600",HLOOKUP($M$4,Fancoils!$B$12:$I$21,6,FALSE),IF(J24="800",HLOOKUP($M$4,Fancoils!$B$12:$I$21,7,FALSE),IF(J24="1000",HLOOKUP($M$4,Fancoils!$B$12:$I$21,8,FALSE),IF(J24="1200",HLOOKUP($M$4,Fancoils!$B$12:$I$21,9,FALSE),IF(J24="1400",HLOOKUP($M$4,Fancoils!$B$12:$I$21,10,FALSE))))))))))</f>
        <v>1.8</v>
      </c>
      <c r="N24" s="10">
        <f>IF(J24="200",HLOOKUP($N$4,Fancoils!$B$12:$I$21,2,FALSE),IF(J24="300",HLOOKUP($N$4,Fancoils!$B$12:$I$21,3,FALSE),IF(J24="400",HLOOKUP($N$4,Fancoils!$B$12:$I$21,4,FALSE),IF(J24="500",HLOOKUP($N$4,Fancoils!$B$12:$I$21,5,FALSE),IF(J24="600",HLOOKUP($N$4,Fancoils!$B$12:$I$21,6,FALSE),IF(J24="800",HLOOKUP($N$4,Fancoils!$B$12:$I$21,7,FALSE),IF(J24="1000",HLOOKUP($N$4,Fancoils!$B$12:$I$21,8,FALSE),IF(J24="1200",HLOOKUP($N$4,Fancoils!$B$12:$I$21,9,FALSE),IF(J24="1400",HLOOKUP($N$4,Fancoils!$B$12:$I$21,10,FALSE))))))))))</f>
        <v>340</v>
      </c>
      <c r="O24" s="36">
        <f>REPORTE!P25</f>
        <v>22</v>
      </c>
      <c r="P24" s="36">
        <f t="shared" ref="P24" si="22">O24*3.6</f>
        <v>79.2</v>
      </c>
      <c r="Q24" s="10">
        <f>IF(J24="200",HLOOKUP($Q$4,Fancoils!$B$12:$I$21,2,FALSE),IF(J24="300",HLOOKUP($Q$4,Fancoils!$B$12:$I$21,3,FALSE),IF(J24="400",HLOOKUP($Q$4,Fancoils!$B$12:$I$21,4,FALSE),IF(J24="500",HLOOKUP($Q$4,Fancoils!$B$12:$I$21,5,FALSE),IF(J24="600",HLOOKUP($Q$4,Fancoils!$B$12:$I$21,6,FALSE),IF(J24="800",HLOOKUP($Q$4,Fancoils!$B$12:$I$21,7,FALSE),IF(J24="1000",HLOOKUP($Q$4,Fancoils!$B$12:$I$21,8,FALSE),IF(J24="1200",HLOOKUP($Q$4,Fancoils!$B$12:$I$21,9,FALSE),IF(J24="1400",HLOOKUP($Q$4,Fancoils!$B$12:$I$21,10,FALSE))))))))))</f>
        <v>50</v>
      </c>
      <c r="R24" s="17" t="s">
        <v>18</v>
      </c>
      <c r="S24" s="17">
        <v>2</v>
      </c>
      <c r="T24" s="37">
        <f t="shared" ref="T24" si="23">N24/S24</f>
        <v>170</v>
      </c>
      <c r="U24" s="20">
        <f t="shared" ref="U24" si="24">N24-P24</f>
        <v>260.8</v>
      </c>
      <c r="V24" s="59">
        <f t="shared" si="5"/>
        <v>2.8333333333333335</v>
      </c>
      <c r="W24" s="12">
        <f>IF(J24="200",HLOOKUP($W$4,Fancoils!$B$12:$S$21,2,FALSE),IF(J24="300",HLOOKUP($W$4,Fancoils!$B$12:$S$21,3,FALSE),IF(J24="400",HLOOKUP($W$4,Fancoils!$B$12:$S$21,4,FALSE),IF(J24="500",HLOOKUP($W$4,Fancoils!$B$12:$S$21,5,FALSE),IF(J24="600",HLOOKUP($W$4,Fancoils!$B$12:$S$21,6,FALSE),IF(J24="800",HLOOKUP($W$4,Fancoils!$B$12:$S$21,7,FALSE),IF(J24="1000",HLOOKUP($W$4,Fancoils!$B$12:$S$21,8,FALSE),IF(J24="1200",HLOOKUP($W$4,Fancoils!$B$12:$S$21,9,FALSE),IF(J24="1400",HLOOKUP($W$4,Fancoils!$B$12:$S$21,10,FALSE))))))))))</f>
        <v>5.7333333333333334</v>
      </c>
      <c r="X24" s="12">
        <f>IF(J24="200",HLOOKUP($X$4,Fancoils!$B$12:$S$21,2,FALSE),IF(J24="300",HLOOKUP($X$4,Fancoils!$B$12:$S$21,3,FALSE),IF(J24="400",HLOOKUP($X$4,Fancoils!$B$12:$S$21,4,FALSE),IF(J24="500",HLOOKUP($X$4,Fancoils!$B$12:$S$21,5,FALSE),IF(J24="600",HLOOKUP($X$4,Fancoils!$B$12:$S$21,6,FALSE),IF(J24="800",HLOOKUP($X$4,Fancoils!$B$12:$S$21,7,FALSE),IF(J24="1000",HLOOKUP($X$4,Fancoils!$B$12:$S$21,8,FALSE),IF(J24="1200",HLOOKUP($X$4,Fancoils!$B$12:$S$21,9,FALSE),IF(J24="1400",HLOOKUP($X$4,Fancoils!$B$12:$S$21,10,FALSE))))))))))</f>
        <v>4.333333333333333</v>
      </c>
      <c r="Y24" s="33" t="s">
        <v>357</v>
      </c>
      <c r="Z24" s="2">
        <f t="shared" si="6"/>
        <v>1.32</v>
      </c>
      <c r="AA24">
        <f>REPORTE!M25</f>
        <v>60</v>
      </c>
    </row>
    <row r="25" spans="1:30" s="33" customFormat="1" outlineLevel="1" x14ac:dyDescent="0.25">
      <c r="B25" s="10">
        <v>1</v>
      </c>
      <c r="C25" s="11" t="str">
        <f>REPORTE!A26</f>
        <v xml:space="preserve">1P 21 OIRS              </v>
      </c>
      <c r="D25" s="96" t="s">
        <v>322</v>
      </c>
      <c r="E25" s="10" t="s">
        <v>12</v>
      </c>
      <c r="F25" s="12">
        <f>REPORTE!B26</f>
        <v>0.4</v>
      </c>
      <c r="G25" s="12">
        <f>REPORTE!C26</f>
        <v>0.4</v>
      </c>
      <c r="H25" s="12">
        <f>REPORTE!J26</f>
        <v>0.6</v>
      </c>
      <c r="I25" s="12">
        <f>AA25*3.6</f>
        <v>136.80000000000001</v>
      </c>
      <c r="J25" s="12" t="str">
        <f t="shared" si="7"/>
        <v>200</v>
      </c>
      <c r="K25" s="10">
        <f>IF(J25="200",HLOOKUP($K$4,Fancoils!$B$12:$I$21,2,FALSE),IF(J25="300",HLOOKUP($K$4,Fancoils!$B$12:$I$21,3,FALSE),IF(J25="400",HLOOKUP($K$4,Fancoils!$B$12:$I$21,4,FALSE),IF(J25="500",HLOOKUP($K$4,Fancoils!$B$12:$I$21,5,FALSE),IF(J25="600",HLOOKUP($K$4,Fancoils!$B$12:$I$21,6,FALSE),IF(J25="800",HLOOKUP($K$4,Fancoils!$B$12:$I$21,7,FALSE),IF(J25="1000",HLOOKUP($K$4,Fancoils!$B$12:$I$21,8,FALSE),IF(J25="1200",HLOOKUP($K$4,Fancoils!$B$12:$I$21,9,FALSE),IF(J25="1400",HLOOKUP($K$4,Fancoils!$B$12:$I$21,10,FALSE))))))))))</f>
        <v>2</v>
      </c>
      <c r="L25" s="10">
        <f>IF(J25="200",HLOOKUP($L$4,Fancoils!$B$12:$I$21,2,FALSE),IF(J25="300",HLOOKUP($L$4,Fancoils!$B$12:$I$21,3,FALSE),IF(J25="400",HLOOKUP($L$4,Fancoils!$B$12:$I$21,4,FALSE),IF(J25="500",HLOOKUP($L$4,Fancoils!$B$12:$I$21,5,FALSE),IF(J25="600",HLOOKUP($L$4,Fancoils!$B$12:$I$21,6,FALSE),IF(J25="800",HLOOKUP($L$4,Fancoils!$B$12:$I$21,7,FALSE),IF(J25="1000",HLOOKUP($L$4,Fancoils!$B$12:$I$21,8,FALSE),IF(J25="1200",HLOOKUP($L$4,Fancoils!$B$12:$I$21,9,FALSE),IF(J25="1400",HLOOKUP($L$4,Fancoils!$B$12:$I$21,10,FALSE))))))))))</f>
        <v>1.38</v>
      </c>
      <c r="M25" s="10">
        <f>IF(J25="200",HLOOKUP($M$4,Fancoils!$B$12:$I$21,2,FALSE),IF(J25="300",HLOOKUP($M$4,Fancoils!$B$12:$I$21,3,FALSE),IF(J25="400",HLOOKUP($M$4,Fancoils!$B$12:$I$21,4,FALSE),IF(J25="500",HLOOKUP($M$4,Fancoils!$B$12:$I$21,5,FALSE),IF(J25="600",HLOOKUP($M$4,Fancoils!$B$12:$I$21,6,FALSE),IF(J25="800",HLOOKUP($M$4,Fancoils!$B$12:$I$21,7,FALSE),IF(J25="1000",HLOOKUP($M$4,Fancoils!$B$12:$I$21,8,FALSE),IF(J25="1200",HLOOKUP($M$4,Fancoils!$B$12:$I$21,9,FALSE),IF(J25="1400",HLOOKUP($M$4,Fancoils!$B$12:$I$21,10,FALSE))))))))))</f>
        <v>1.8</v>
      </c>
      <c r="N25" s="10">
        <f>IF(J25="200",HLOOKUP($N$4,Fancoils!$B$12:$I$21,2,FALSE),IF(J25="300",HLOOKUP($N$4,Fancoils!$B$12:$I$21,3,FALSE),IF(J25="400",HLOOKUP($N$4,Fancoils!$B$12:$I$21,4,FALSE),IF(J25="500",HLOOKUP($N$4,Fancoils!$B$12:$I$21,5,FALSE),IF(J25="600",HLOOKUP($N$4,Fancoils!$B$12:$I$21,6,FALSE),IF(J25="800",HLOOKUP($N$4,Fancoils!$B$12:$I$21,7,FALSE),IF(J25="1000",HLOOKUP($N$4,Fancoils!$B$12:$I$21,8,FALSE),IF(J25="1200",HLOOKUP($N$4,Fancoils!$B$12:$I$21,9,FALSE),IF(J25="1400",HLOOKUP($N$4,Fancoils!$B$12:$I$21,10,FALSE))))))))))</f>
        <v>340</v>
      </c>
      <c r="O25" s="36">
        <f>REPORTE!P26</f>
        <v>25</v>
      </c>
      <c r="P25" s="36">
        <f t="shared" ref="P25" si="25">O25*3.6</f>
        <v>90</v>
      </c>
      <c r="Q25" s="10">
        <f>IF(J25="200",HLOOKUP($Q$4,Fancoils!$B$12:$I$21,2,FALSE),IF(J25="300",HLOOKUP($Q$4,Fancoils!$B$12:$I$21,3,FALSE),IF(J25="400",HLOOKUP($Q$4,Fancoils!$B$12:$I$21,4,FALSE),IF(J25="500",HLOOKUP($Q$4,Fancoils!$B$12:$I$21,5,FALSE),IF(J25="600",HLOOKUP($Q$4,Fancoils!$B$12:$I$21,6,FALSE),IF(J25="800",HLOOKUP($Q$4,Fancoils!$B$12:$I$21,7,FALSE),IF(J25="1000",HLOOKUP($Q$4,Fancoils!$B$12:$I$21,8,FALSE),IF(J25="1200",HLOOKUP($Q$4,Fancoils!$B$12:$I$21,9,FALSE),IF(J25="1400",HLOOKUP($Q$4,Fancoils!$B$12:$I$21,10,FALSE))))))))))</f>
        <v>50</v>
      </c>
      <c r="R25" s="17" t="s">
        <v>18</v>
      </c>
      <c r="S25" s="17">
        <v>2</v>
      </c>
      <c r="T25" s="37">
        <f t="shared" ref="T25" si="26">N25/S25</f>
        <v>170</v>
      </c>
      <c r="U25" s="20">
        <f t="shared" ref="U25" si="27">N25-P25</f>
        <v>250</v>
      </c>
      <c r="V25" s="59">
        <f t="shared" si="5"/>
        <v>2.8333333333333335</v>
      </c>
      <c r="W25" s="12">
        <f>IF(J25="200",HLOOKUP($W$4,Fancoils!$B$12:$S$21,2,FALSE),IF(J25="300",HLOOKUP($W$4,Fancoils!$B$12:$S$21,3,FALSE),IF(J25="400",HLOOKUP($W$4,Fancoils!$B$12:$S$21,4,FALSE),IF(J25="500",HLOOKUP($W$4,Fancoils!$B$12:$S$21,5,FALSE),IF(J25="600",HLOOKUP($W$4,Fancoils!$B$12:$S$21,6,FALSE),IF(J25="800",HLOOKUP($W$4,Fancoils!$B$12:$S$21,7,FALSE),IF(J25="1000",HLOOKUP($W$4,Fancoils!$B$12:$S$21,8,FALSE),IF(J25="1200",HLOOKUP($W$4,Fancoils!$B$12:$S$21,9,FALSE),IF(J25="1400",HLOOKUP($W$4,Fancoils!$B$12:$S$21,10,FALSE))))))))))</f>
        <v>5.7333333333333334</v>
      </c>
      <c r="X25" s="12">
        <f>IF(J25="200",HLOOKUP($X$4,Fancoils!$B$12:$S$21,2,FALSE),IF(J25="300",HLOOKUP($X$4,Fancoils!$B$12:$S$21,3,FALSE),IF(J25="400",HLOOKUP($X$4,Fancoils!$B$12:$S$21,4,FALSE),IF(J25="500",HLOOKUP($X$4,Fancoils!$B$12:$S$21,5,FALSE),IF(J25="600",HLOOKUP($X$4,Fancoils!$B$12:$S$21,6,FALSE),IF(J25="800",HLOOKUP($X$4,Fancoils!$B$12:$S$21,7,FALSE),IF(J25="1000",HLOOKUP($X$4,Fancoils!$B$12:$S$21,8,FALSE),IF(J25="1200",HLOOKUP($X$4,Fancoils!$B$12:$S$21,9,FALSE),IF(J25="1400",HLOOKUP($X$4,Fancoils!$B$12:$S$21,10,FALSE))))))))))</f>
        <v>4.333333333333333</v>
      </c>
      <c r="Y25" s="33" t="s">
        <v>357</v>
      </c>
      <c r="Z25" s="2">
        <f t="shared" si="6"/>
        <v>1.5</v>
      </c>
      <c r="AA25">
        <f>REPORTE!M26</f>
        <v>38</v>
      </c>
    </row>
    <row r="26" spans="1:30" s="33" customFormat="1" outlineLevel="1" x14ac:dyDescent="0.25">
      <c r="B26" s="10">
        <v>1</v>
      </c>
      <c r="C26" s="11" t="str">
        <f>REPORTE!A27</f>
        <v xml:space="preserve">1P 22 LACT PUBLICO      </v>
      </c>
      <c r="D26" s="97"/>
      <c r="E26" s="10"/>
      <c r="F26" s="12"/>
      <c r="G26" s="12"/>
      <c r="H26" s="12"/>
      <c r="I26" s="12"/>
      <c r="J26" s="12"/>
      <c r="K26" s="10"/>
      <c r="L26" s="10"/>
      <c r="M26" s="10"/>
      <c r="N26" s="10"/>
      <c r="O26" s="36"/>
      <c r="P26" s="36"/>
      <c r="Q26" s="10"/>
      <c r="R26" s="17"/>
      <c r="S26" s="17"/>
      <c r="T26" s="37"/>
      <c r="U26" s="20"/>
      <c r="V26" s="59">
        <f t="shared" si="5"/>
        <v>0</v>
      </c>
      <c r="W26" s="12"/>
      <c r="X26" s="12"/>
      <c r="Z26" s="2"/>
      <c r="AA26">
        <f>REPORTE!M27</f>
        <v>0</v>
      </c>
    </row>
    <row r="27" spans="1:30" outlineLevel="1" x14ac:dyDescent="0.25">
      <c r="A27" s="33"/>
      <c r="B27" s="10">
        <v>1</v>
      </c>
      <c r="C27" s="11" t="str">
        <f>REPORTE!A28</f>
        <v>1P 24 SALA REHABILITACIO</v>
      </c>
      <c r="D27" s="10" t="s">
        <v>324</v>
      </c>
      <c r="E27" s="10" t="s">
        <v>12</v>
      </c>
      <c r="F27" s="12">
        <f>REPORTE!B28</f>
        <v>7.3</v>
      </c>
      <c r="G27" s="12">
        <f>REPORTE!C28</f>
        <v>7.3</v>
      </c>
      <c r="H27" s="12">
        <f>REPORTE!J28</f>
        <v>5.6</v>
      </c>
      <c r="I27" s="12">
        <f>AA27*3.6</f>
        <v>2322</v>
      </c>
      <c r="J27" s="12" t="str">
        <f>+IF(G27&lt;1.38,"200",IF(AND(1.39&lt;G27,G27&lt;1.86),"300",IF(AND(1.87&lt;G27,G27&lt;2.48),"400",IF(AND(2.49&lt;G27,G27&lt;2.96),"500",IF(AND(2.97&lt;G27,G27&lt;3.44),"600",IF(AND(3.45&lt;G27,G27&lt;4.68),"800",IF(AND(4.69&lt;G27,G27&lt;5.37),"1000",IF(AND(5.38&lt;G27,G27&lt;7.02),"1200",IF(AND(7.1&lt;G27,G27&lt;7.92),"1400",)))))))))</f>
        <v>1400</v>
      </c>
      <c r="K27" s="10">
        <f>IF(J27="200",HLOOKUP($K$4,Fancoils!$B$12:$I$21,2,FALSE),IF(J27="300",HLOOKUP($K$4,Fancoils!$B$12:$I$21,3,FALSE),IF(J27="400",HLOOKUP($K$4,Fancoils!$B$12:$I$21,4,FALSE),IF(J27="500",HLOOKUP($K$4,Fancoils!$B$12:$I$21,5,FALSE),IF(J27="600",HLOOKUP($K$4,Fancoils!$B$12:$I$21,6,FALSE),IF(J27="800",HLOOKUP($K$4,Fancoils!$B$12:$I$21,7,FALSE),IF(J27="1000",HLOOKUP($K$4,Fancoils!$B$12:$I$21,8,FALSE),IF(J27="1200",HLOOKUP($K$4,Fancoils!$B$12:$I$21,9,FALSE),IF(J27="1400",HLOOKUP($K$4,Fancoils!$B$12:$I$21,10,FALSE))))))))))</f>
        <v>11.5</v>
      </c>
      <c r="L27" s="10">
        <f>IF(J27="200",HLOOKUP($L$4,Fancoils!$B$12:$I$21,2,FALSE),IF(J27="300",HLOOKUP($L$4,Fancoils!$B$12:$I$21,3,FALSE),IF(J27="400",HLOOKUP($L$4,Fancoils!$B$12:$I$21,4,FALSE),IF(J27="500",HLOOKUP($L$4,Fancoils!$B$12:$I$21,5,FALSE),IF(J27="600",HLOOKUP($L$4,Fancoils!$B$12:$I$21,6,FALSE),IF(J27="800",HLOOKUP($L$4,Fancoils!$B$12:$I$21,7,FALSE),IF(J27="1000",HLOOKUP($L$4,Fancoils!$B$12:$I$21,8,FALSE),IF(J27="1200",HLOOKUP($L$4,Fancoils!$B$12:$I$21,9,FALSE),IF(J27="1400",HLOOKUP($L$4,Fancoils!$B$12:$I$21,10,FALSE))))))))))</f>
        <v>7.92</v>
      </c>
      <c r="M27" s="10">
        <f>IF(J27="200",HLOOKUP($M$4,Fancoils!$B$12:$I$21,2,FALSE),IF(J27="300",HLOOKUP($M$4,Fancoils!$B$12:$I$21,3,FALSE),IF(J27="400",HLOOKUP($M$4,Fancoils!$B$12:$I$21,4,FALSE),IF(J27="500",HLOOKUP($M$4,Fancoils!$B$12:$I$21,5,FALSE),IF(J27="600",HLOOKUP($M$4,Fancoils!$B$12:$I$21,6,FALSE),IF(J27="800",HLOOKUP($M$4,Fancoils!$B$12:$I$21,7,FALSE),IF(J27="1000",HLOOKUP($M$4,Fancoils!$B$12:$I$21,8,FALSE),IF(J27="1200",HLOOKUP($M$4,Fancoils!$B$12:$I$21,9,FALSE),IF(J27="1400",HLOOKUP($M$4,Fancoils!$B$12:$I$21,10,FALSE))))))))))</f>
        <v>9.3000000000000007</v>
      </c>
      <c r="N27" s="10">
        <f>IF(J27="200",HLOOKUP($N$4,Fancoils!$B$12:$I$21,2,FALSE),IF(J27="300",HLOOKUP($N$4,Fancoils!$B$12:$I$21,3,FALSE),IF(J27="400",HLOOKUP($N$4,Fancoils!$B$12:$I$21,4,FALSE),IF(J27="500",HLOOKUP($N$4,Fancoils!$B$12:$I$21,5,FALSE),IF(J27="600",HLOOKUP($N$4,Fancoils!$B$12:$I$21,6,FALSE),IF(J27="800",HLOOKUP($N$4,Fancoils!$B$12:$I$21,7,FALSE),IF(J27="1000",HLOOKUP($N$4,Fancoils!$B$12:$I$21,8,FALSE),IF(J27="1200",HLOOKUP($N$4,Fancoils!$B$12:$I$21,9,FALSE),IF(J27="1400",HLOOKUP($N$4,Fancoils!$B$12:$I$21,10,FALSE))))))))))</f>
        <v>2380</v>
      </c>
      <c r="O27" s="36">
        <f>REPORTE!P28</f>
        <v>209</v>
      </c>
      <c r="P27" s="14">
        <f t="shared" ref="P27" si="28">O27*3.6</f>
        <v>752.4</v>
      </c>
      <c r="Q27" s="10">
        <f>IF(J27="200",HLOOKUP($Q$4,Fancoils!$B$12:$I$21,2,FALSE),IF(J27="300",HLOOKUP($Q$4,Fancoils!$B$12:$I$21,3,FALSE),IF(J27="400",HLOOKUP($Q$4,Fancoils!$B$12:$I$21,4,FALSE),IF(J27="500",HLOOKUP($Q$4,Fancoils!$B$12:$I$21,5,FALSE),IF(J27="600",HLOOKUP($Q$4,Fancoils!$B$12:$I$21,6,FALSE),IF(J27="800",HLOOKUP($Q$4,Fancoils!$B$12:$I$21,7,FALSE),IF(J27="1000",HLOOKUP($Q$4,Fancoils!$B$12:$I$21,8,FALSE),IF(J27="1200",HLOOKUP($Q$4,Fancoils!$B$12:$I$21,9,FALSE),IF(J27="1400",HLOOKUP($Q$4,Fancoils!$B$12:$I$21,10,FALSE))))))))))</f>
        <v>240</v>
      </c>
      <c r="R27" s="10" t="s">
        <v>18</v>
      </c>
      <c r="S27" s="10">
        <v>6</v>
      </c>
      <c r="T27" s="73">
        <f t="shared" ref="T27" si="29">N27/S27</f>
        <v>396.66666666666669</v>
      </c>
      <c r="U27" s="13">
        <f t="shared" ref="U27" si="30">N27-P27</f>
        <v>1627.6</v>
      </c>
      <c r="V27" s="59">
        <f t="shared" si="5"/>
        <v>6.6111111111111116</v>
      </c>
      <c r="W27" s="12">
        <f>IF(J27="200",HLOOKUP($W$4,Fancoils!$B$12:$S$21,2,FALSE),IF(J27="300",HLOOKUP($W$4,Fancoils!$B$12:$S$21,3,FALSE),IF(J27="400",HLOOKUP($W$4,Fancoils!$B$12:$S$21,4,FALSE),IF(J27="500",HLOOKUP($W$4,Fancoils!$B$12:$S$21,5,FALSE),IF(J27="600",HLOOKUP($W$4,Fancoils!$B$12:$S$21,6,FALSE),IF(J27="800",HLOOKUP($W$4,Fancoils!$B$12:$S$21,7,FALSE),IF(J27="1000",HLOOKUP($W$4,Fancoils!$B$12:$S$21,8,FALSE),IF(J27="1200",HLOOKUP($W$4,Fancoils!$B$12:$S$21,9,FALSE),IF(J27="1400",HLOOKUP($W$4,Fancoils!$B$12:$S$21,10,FALSE))))))))))</f>
        <v>32.966666666666669</v>
      </c>
      <c r="X27" s="12">
        <f>IF(J27="200",HLOOKUP($X$4,Fancoils!$B$12:$S$21,2,FALSE),IF(J27="300",HLOOKUP($X$4,Fancoils!$B$12:$S$21,3,FALSE),IF(J27="400",HLOOKUP($X$4,Fancoils!$B$12:$S$21,4,FALSE),IF(J27="500",HLOOKUP($X$4,Fancoils!$B$12:$S$21,5,FALSE),IF(J27="600",HLOOKUP($X$4,Fancoils!$B$12:$S$21,6,FALSE),IF(J27="800",HLOOKUP($X$4,Fancoils!$B$12:$S$21,7,FALSE),IF(J27="1000",HLOOKUP($X$4,Fancoils!$B$12:$S$21,8,FALSE),IF(J27="1200",HLOOKUP($X$4,Fancoils!$B$12:$S$21,9,FALSE),IF(J27="1400",HLOOKUP($X$4,Fancoils!$B$12:$S$21,10,FALSE))))))))))</f>
        <v>22.166666666666668</v>
      </c>
      <c r="Y27" s="33" t="s">
        <v>119</v>
      </c>
      <c r="Z27" s="2">
        <f t="shared" si="6"/>
        <v>12.54</v>
      </c>
      <c r="AA27">
        <f>REPORTE!M28</f>
        <v>645</v>
      </c>
      <c r="AB27">
        <f>SUM(Z27:Z30)+Z100</f>
        <v>27.27</v>
      </c>
      <c r="AC27" t="s">
        <v>123</v>
      </c>
    </row>
    <row r="28" spans="1:30" s="33" customFormat="1" outlineLevel="1" x14ac:dyDescent="0.25">
      <c r="B28" s="10">
        <v>1</v>
      </c>
      <c r="C28" s="11" t="str">
        <f>REPORTE!A29</f>
        <v xml:space="preserve">1P 26 PODOLOGIA         </v>
      </c>
      <c r="D28" s="10" t="s">
        <v>325</v>
      </c>
      <c r="E28" s="10" t="s">
        <v>12</v>
      </c>
      <c r="F28" s="12">
        <f>REPORTE!B29</f>
        <v>2.1</v>
      </c>
      <c r="G28" s="12">
        <f>REPORTE!C29</f>
        <v>2.1</v>
      </c>
      <c r="H28" s="12">
        <f>REPORTE!J29</f>
        <v>1.2</v>
      </c>
      <c r="I28" s="12">
        <f>AA28*3.6</f>
        <v>730.80000000000007</v>
      </c>
      <c r="J28" s="12" t="str">
        <f t="shared" si="7"/>
        <v>400</v>
      </c>
      <c r="K28" s="10">
        <f>IF(J28="200",HLOOKUP($K$4,Fancoils!$B$12:$I$21,2,FALSE),IF(J28="300",HLOOKUP($K$4,Fancoils!$B$12:$I$21,3,FALSE),IF(J28="400",HLOOKUP($K$4,Fancoils!$B$12:$I$21,4,FALSE),IF(J28="500",HLOOKUP($K$4,Fancoils!$B$12:$I$21,5,FALSE),IF(J28="600",HLOOKUP($K$4,Fancoils!$B$12:$I$21,6,FALSE),IF(J28="800",HLOOKUP($K$4,Fancoils!$B$12:$I$21,7,FALSE),IF(J28="1000",HLOOKUP($K$4,Fancoils!$B$12:$I$21,8,FALSE),IF(J28="1200",HLOOKUP($K$4,Fancoils!$B$12:$I$21,9,FALSE),IF(J28="1400",HLOOKUP($K$4,Fancoils!$B$12:$I$21,10,FALSE))))))))))</f>
        <v>3.6</v>
      </c>
      <c r="L28" s="10">
        <f>IF(J28="200",HLOOKUP($L$4,Fancoils!$B$12:$I$21,2,FALSE),IF(J28="300",HLOOKUP($L$4,Fancoils!$B$12:$I$21,3,FALSE),IF(J28="400",HLOOKUP($L$4,Fancoils!$B$12:$I$21,4,FALSE),IF(J28="500",HLOOKUP($L$4,Fancoils!$B$12:$I$21,5,FALSE),IF(J28="600",HLOOKUP($L$4,Fancoils!$B$12:$I$21,6,FALSE),IF(J28="800",HLOOKUP($L$4,Fancoils!$B$12:$I$21,7,FALSE),IF(J28="1000",HLOOKUP($L$4,Fancoils!$B$12:$I$21,8,FALSE),IF(J28="1200",HLOOKUP($L$4,Fancoils!$B$12:$I$21,9,FALSE),IF(J28="1400",HLOOKUP($L$4,Fancoils!$B$12:$I$21,10,FALSE))))))))))</f>
        <v>2.48</v>
      </c>
      <c r="M28" s="10">
        <f>IF(J28="200",HLOOKUP($M$4,Fancoils!$B$12:$I$21,2,FALSE),IF(J28="300",HLOOKUP($M$4,Fancoils!$B$12:$I$21,3,FALSE),IF(J28="400",HLOOKUP($M$4,Fancoils!$B$12:$I$21,4,FALSE),IF(J28="500",HLOOKUP($M$4,Fancoils!$B$12:$I$21,5,FALSE),IF(J28="600",HLOOKUP($M$4,Fancoils!$B$12:$I$21,6,FALSE),IF(J28="800",HLOOKUP($M$4,Fancoils!$B$12:$I$21,7,FALSE),IF(J28="1000",HLOOKUP($M$4,Fancoils!$B$12:$I$21,8,FALSE),IF(J28="1200",HLOOKUP($M$4,Fancoils!$B$12:$I$21,9,FALSE),IF(J28="1400",HLOOKUP($M$4,Fancoils!$B$12:$I$21,10,FALSE))))))))))</f>
        <v>3.12</v>
      </c>
      <c r="N28" s="10">
        <f>IF(J28="200",HLOOKUP($N$4,Fancoils!$B$12:$I$21,2,FALSE),IF(J28="300",HLOOKUP($N$4,Fancoils!$B$12:$I$21,3,FALSE),IF(J28="400",HLOOKUP($N$4,Fancoils!$B$12:$I$21,4,FALSE),IF(J28="500",HLOOKUP($N$4,Fancoils!$B$12:$I$21,5,FALSE),IF(J28="600",HLOOKUP($N$4,Fancoils!$B$12:$I$21,6,FALSE),IF(J28="800",HLOOKUP($N$4,Fancoils!$B$12:$I$21,7,FALSE),IF(J28="1000",HLOOKUP($N$4,Fancoils!$B$12:$I$21,8,FALSE),IF(J28="1200",HLOOKUP($N$4,Fancoils!$B$12:$I$21,9,FALSE),IF(J28="1400",HLOOKUP($N$4,Fancoils!$B$12:$I$21,10,FALSE))))))))))</f>
        <v>680</v>
      </c>
      <c r="O28" s="36">
        <f>REPORTE!P29</f>
        <v>38</v>
      </c>
      <c r="P28" s="36">
        <f t="shared" ref="P28:P29" si="31">O28*3.6</f>
        <v>136.80000000000001</v>
      </c>
      <c r="Q28" s="10">
        <f>IF(J28="200",HLOOKUP($Q$4,Fancoils!$B$12:$I$21,2,FALSE),IF(J28="300",HLOOKUP($Q$4,Fancoils!$B$12:$I$21,3,FALSE),IF(J28="400",HLOOKUP($Q$4,Fancoils!$B$12:$I$21,4,FALSE),IF(J28="500",HLOOKUP($Q$4,Fancoils!$B$12:$I$21,5,FALSE),IF(J28="600",HLOOKUP($Q$4,Fancoils!$B$12:$I$21,6,FALSE),IF(J28="800",HLOOKUP($Q$4,Fancoils!$B$12:$I$21,7,FALSE),IF(J28="1000",HLOOKUP($Q$4,Fancoils!$B$12:$I$21,8,FALSE),IF(J28="1200",HLOOKUP($Q$4,Fancoils!$B$12:$I$21,9,FALSE),IF(J28="1400",HLOOKUP($Q$4,Fancoils!$B$12:$I$21,10,FALSE))))))))))</f>
        <v>70</v>
      </c>
      <c r="R28" s="17" t="s">
        <v>18</v>
      </c>
      <c r="S28" s="17">
        <v>2</v>
      </c>
      <c r="T28" s="37">
        <f t="shared" ref="T28:T29" si="32">N28/S28</f>
        <v>340</v>
      </c>
      <c r="U28" s="20">
        <f t="shared" ref="U28:U29" si="33">N28-P28</f>
        <v>543.20000000000005</v>
      </c>
      <c r="V28" s="59">
        <f t="shared" si="5"/>
        <v>5.666666666666667</v>
      </c>
      <c r="W28" s="12">
        <f>IF(J28="200",HLOOKUP($W$4,Fancoils!$B$12:$S$21,2,FALSE),IF(J28="300",HLOOKUP($W$4,Fancoils!$B$12:$S$21,3,FALSE),IF(J28="400",HLOOKUP($W$4,Fancoils!$B$12:$S$21,4,FALSE),IF(J28="500",HLOOKUP($W$4,Fancoils!$B$12:$S$21,5,FALSE),IF(J28="600",HLOOKUP($W$4,Fancoils!$B$12:$S$21,6,FALSE),IF(J28="800",HLOOKUP($W$4,Fancoils!$B$12:$S$21,7,FALSE),IF(J28="1000",HLOOKUP($W$4,Fancoils!$B$12:$S$21,8,FALSE),IF(J28="1200",HLOOKUP($W$4,Fancoils!$B$12:$S$21,9,FALSE),IF(J28="1400",HLOOKUP($W$4,Fancoils!$B$12:$S$21,10,FALSE))))))))))</f>
        <v>10.316666666666666</v>
      </c>
      <c r="X28" s="12">
        <f>IF(J28="200",HLOOKUP($X$4,Fancoils!$B$12:$S$21,2,FALSE),IF(J28="300",HLOOKUP($X$4,Fancoils!$B$12:$S$21,3,FALSE),IF(J28="400",HLOOKUP($X$4,Fancoils!$B$12:$S$21,4,FALSE),IF(J28="500",HLOOKUP($X$4,Fancoils!$B$12:$S$21,5,FALSE),IF(J28="600",HLOOKUP($X$4,Fancoils!$B$12:$S$21,6,FALSE),IF(J28="800",HLOOKUP($X$4,Fancoils!$B$12:$S$21,7,FALSE),IF(J28="1000",HLOOKUP($X$4,Fancoils!$B$12:$S$21,8,FALSE),IF(J28="1200",HLOOKUP($X$4,Fancoils!$B$12:$S$21,9,FALSE),IF(J28="1400",HLOOKUP($X$4,Fancoils!$B$12:$S$21,10,FALSE))))))))))</f>
        <v>7.5000000000000009</v>
      </c>
      <c r="Y28" s="33" t="s">
        <v>357</v>
      </c>
      <c r="Z28" s="2">
        <f t="shared" si="6"/>
        <v>2.2800000000000002</v>
      </c>
      <c r="AA28">
        <f>REPORTE!M29</f>
        <v>203</v>
      </c>
    </row>
    <row r="29" spans="1:30" s="33" customFormat="1" outlineLevel="1" x14ac:dyDescent="0.25">
      <c r="B29" s="10">
        <v>1</v>
      </c>
      <c r="C29" s="11" t="str">
        <f>REPORTE!A30</f>
        <v xml:space="preserve">1P 27 ECOGRAFIA         </v>
      </c>
      <c r="D29" s="10" t="s">
        <v>326</v>
      </c>
      <c r="E29" s="10" t="s">
        <v>12</v>
      </c>
      <c r="F29" s="12">
        <f>REPORTE!B30</f>
        <v>1.8</v>
      </c>
      <c r="G29" s="12">
        <f>REPORTE!C30</f>
        <v>1.8</v>
      </c>
      <c r="H29" s="12">
        <f>REPORTE!J30</f>
        <v>1.2</v>
      </c>
      <c r="I29" s="12">
        <f>AA29*3.6</f>
        <v>619.20000000000005</v>
      </c>
      <c r="J29" s="12" t="str">
        <f t="shared" si="7"/>
        <v>300</v>
      </c>
      <c r="K29" s="10">
        <f>IF(J29="200",HLOOKUP($K$4,Fancoils!$B$12:$I$21,2,FALSE),IF(J29="300",HLOOKUP($K$4,Fancoils!$B$12:$I$21,3,FALSE),IF(J29="400",HLOOKUP($K$4,Fancoils!$B$12:$I$21,4,FALSE),IF(J29="500",HLOOKUP($K$4,Fancoils!$B$12:$I$21,5,FALSE),IF(J29="600",HLOOKUP($K$4,Fancoils!$B$12:$I$21,6,FALSE),IF(J29="800",HLOOKUP($K$4,Fancoils!$B$12:$I$21,7,FALSE),IF(J29="1000",HLOOKUP($K$4,Fancoils!$B$12:$I$21,8,FALSE),IF(J29="1200",HLOOKUP($K$4,Fancoils!$B$12:$I$21,9,FALSE),IF(J29="1400",HLOOKUP($K$4,Fancoils!$B$12:$I$21,10,FALSE))))))))))</f>
        <v>2.7</v>
      </c>
      <c r="L29" s="10">
        <f>IF(J29="200",HLOOKUP($L$4,Fancoils!$B$12:$I$21,2,FALSE),IF(J29="300",HLOOKUP($L$4,Fancoils!$B$12:$I$21,3,FALSE),IF(J29="400",HLOOKUP($L$4,Fancoils!$B$12:$I$21,4,FALSE),IF(J29="500",HLOOKUP($L$4,Fancoils!$B$12:$I$21,5,FALSE),IF(J29="600",HLOOKUP($L$4,Fancoils!$B$12:$I$21,6,FALSE),IF(J29="800",HLOOKUP($L$4,Fancoils!$B$12:$I$21,7,FALSE),IF(J29="1000",HLOOKUP($L$4,Fancoils!$B$12:$I$21,8,FALSE),IF(J29="1200",HLOOKUP($L$4,Fancoils!$B$12:$I$21,9,FALSE),IF(J29="1400",HLOOKUP($L$4,Fancoils!$B$12:$I$21,10,FALSE))))))))))</f>
        <v>1.86</v>
      </c>
      <c r="M29" s="10">
        <f>IF(J29="200",HLOOKUP($M$4,Fancoils!$B$12:$I$21,2,FALSE),IF(J29="300",HLOOKUP($M$4,Fancoils!$B$12:$I$21,3,FALSE),IF(J29="400",HLOOKUP($M$4,Fancoils!$B$12:$I$21,4,FALSE),IF(J29="500",HLOOKUP($M$4,Fancoils!$B$12:$I$21,5,FALSE),IF(J29="600",HLOOKUP($M$4,Fancoils!$B$12:$I$21,6,FALSE),IF(J29="800",HLOOKUP($M$4,Fancoils!$B$12:$I$21,7,FALSE),IF(J29="1000",HLOOKUP($M$4,Fancoils!$B$12:$I$21,8,FALSE),IF(J29="1200",HLOOKUP($M$4,Fancoils!$B$12:$I$21,9,FALSE),IF(J29="1400",HLOOKUP($M$4,Fancoils!$B$12:$I$21,10,FALSE))))))))))</f>
        <v>2.4</v>
      </c>
      <c r="N29" s="10">
        <f>IF(J29="200",HLOOKUP($N$4,Fancoils!$B$12:$I$21,2,FALSE),IF(J29="300",HLOOKUP($N$4,Fancoils!$B$12:$I$21,3,FALSE),IF(J29="400",HLOOKUP($N$4,Fancoils!$B$12:$I$21,4,FALSE),IF(J29="500",HLOOKUP($N$4,Fancoils!$B$12:$I$21,5,FALSE),IF(J29="600",HLOOKUP($N$4,Fancoils!$B$12:$I$21,6,FALSE),IF(J29="800",HLOOKUP($N$4,Fancoils!$B$12:$I$21,7,FALSE),IF(J29="1000",HLOOKUP($N$4,Fancoils!$B$12:$I$21,8,FALSE),IF(J29="1200",HLOOKUP($N$4,Fancoils!$B$12:$I$21,9,FALSE),IF(J29="1400",HLOOKUP($N$4,Fancoils!$B$12:$I$21,10,FALSE))))))))))</f>
        <v>510</v>
      </c>
      <c r="O29" s="36">
        <f>REPORTE!P30</f>
        <v>38</v>
      </c>
      <c r="P29" s="36">
        <f t="shared" si="31"/>
        <v>136.80000000000001</v>
      </c>
      <c r="Q29" s="10">
        <f>IF(J29="200",HLOOKUP($Q$4,Fancoils!$B$12:$I$21,2,FALSE),IF(J29="300",HLOOKUP($Q$4,Fancoils!$B$12:$I$21,3,FALSE),IF(J29="400",HLOOKUP($Q$4,Fancoils!$B$12:$I$21,4,FALSE),IF(J29="500",HLOOKUP($Q$4,Fancoils!$B$12:$I$21,5,FALSE),IF(J29="600",HLOOKUP($Q$4,Fancoils!$B$12:$I$21,6,FALSE),IF(J29="800",HLOOKUP($Q$4,Fancoils!$B$12:$I$21,7,FALSE),IF(J29="1000",HLOOKUP($Q$4,Fancoils!$B$12:$I$21,8,FALSE),IF(J29="1200",HLOOKUP($Q$4,Fancoils!$B$12:$I$21,9,FALSE),IF(J29="1400",HLOOKUP($Q$4,Fancoils!$B$12:$I$21,10,FALSE))))))))))</f>
        <v>50</v>
      </c>
      <c r="R29" s="17" t="s">
        <v>18</v>
      </c>
      <c r="S29" s="17">
        <v>2</v>
      </c>
      <c r="T29" s="37">
        <f t="shared" si="32"/>
        <v>255</v>
      </c>
      <c r="U29" s="20">
        <f t="shared" si="33"/>
        <v>373.2</v>
      </c>
      <c r="V29" s="59">
        <f t="shared" si="5"/>
        <v>4.25</v>
      </c>
      <c r="W29" s="12">
        <f>IF(J29="200",HLOOKUP($W$4,Fancoils!$B$12:$S$21,2,FALSE),IF(J29="300",HLOOKUP($W$4,Fancoils!$B$12:$S$21,3,FALSE),IF(J29="400",HLOOKUP($W$4,Fancoils!$B$12:$S$21,4,FALSE),IF(J29="500",HLOOKUP($W$4,Fancoils!$B$12:$S$21,5,FALSE),IF(J29="600",HLOOKUP($W$4,Fancoils!$B$12:$S$21,6,FALSE),IF(J29="800",HLOOKUP($W$4,Fancoils!$B$12:$S$21,7,FALSE),IF(J29="1000",HLOOKUP($W$4,Fancoils!$B$12:$S$21,8,FALSE),IF(J29="1200",HLOOKUP($W$4,Fancoils!$B$12:$S$21,9,FALSE),IF(J29="1400",HLOOKUP($W$4,Fancoils!$B$12:$S$21,10,FALSE))))))))))</f>
        <v>7.7333333333333334</v>
      </c>
      <c r="X29" s="12">
        <f>IF(J29="200",HLOOKUP($X$4,Fancoils!$B$12:$S$21,2,FALSE),IF(J29="300",HLOOKUP($X$4,Fancoils!$B$12:$S$21,3,FALSE),IF(J29="400",HLOOKUP($X$4,Fancoils!$B$12:$S$21,4,FALSE),IF(J29="500",HLOOKUP($X$4,Fancoils!$B$12:$S$21,5,FALSE),IF(J29="600",HLOOKUP($X$4,Fancoils!$B$12:$S$21,6,FALSE),IF(J29="800",HLOOKUP($X$4,Fancoils!$B$12:$S$21,7,FALSE),IF(J29="1000",HLOOKUP($X$4,Fancoils!$B$12:$S$21,8,FALSE),IF(J29="1200",HLOOKUP($X$4,Fancoils!$B$12:$S$21,9,FALSE),IF(J29="1400",HLOOKUP($X$4,Fancoils!$B$12:$S$21,10,FALSE))))))))))</f>
        <v>5.666666666666667</v>
      </c>
      <c r="Y29" s="33" t="s">
        <v>357</v>
      </c>
      <c r="Z29" s="2">
        <f t="shared" si="6"/>
        <v>2.2800000000000002</v>
      </c>
      <c r="AA29">
        <f>REPORTE!M30</f>
        <v>172</v>
      </c>
    </row>
    <row r="30" spans="1:30" outlineLevel="1" x14ac:dyDescent="0.25">
      <c r="A30" s="33"/>
      <c r="B30" s="10">
        <v>1</v>
      </c>
      <c r="C30" s="11" t="str">
        <f>REPORTE!A31</f>
        <v>1P 28 SALA DE ESTIMULACI</v>
      </c>
      <c r="D30" s="10" t="s">
        <v>327</v>
      </c>
      <c r="E30" s="10" t="s">
        <v>12</v>
      </c>
      <c r="F30" s="12">
        <f>REPORTE!B31</f>
        <v>6.2</v>
      </c>
      <c r="G30" s="12">
        <f>REPORTE!C31</f>
        <v>6</v>
      </c>
      <c r="H30" s="12">
        <f>REPORTE!J31</f>
        <v>4</v>
      </c>
      <c r="I30" s="12">
        <f>AA30*3.6</f>
        <v>2131.2000000000003</v>
      </c>
      <c r="J30" s="12" t="str">
        <f t="shared" si="7"/>
        <v>1200</v>
      </c>
      <c r="K30" s="10">
        <f>IF(J30="200",HLOOKUP($K$4,Fancoils!$B$12:$I$21,2,FALSE),IF(J30="300",HLOOKUP($K$4,Fancoils!$B$12:$I$21,3,FALSE),IF(J30="400",HLOOKUP($K$4,Fancoils!$B$12:$I$21,4,FALSE),IF(J30="500",HLOOKUP($K$4,Fancoils!$B$12:$I$21,5,FALSE),IF(J30="600",HLOOKUP($K$4,Fancoils!$B$12:$I$21,6,FALSE),IF(J30="800",HLOOKUP($K$4,Fancoils!$B$12:$I$21,7,FALSE),IF(J30="1000",HLOOKUP($K$4,Fancoils!$B$12:$I$21,8,FALSE),IF(J30="1200",HLOOKUP($K$4,Fancoils!$B$12:$I$21,9,FALSE),IF(J30="1400",HLOOKUP($K$4,Fancoils!$B$12:$I$21,10,FALSE))))))))))</f>
        <v>10.199999999999999</v>
      </c>
      <c r="L30" s="10">
        <f>IF(J30="200",HLOOKUP($L$4,Fancoils!$B$12:$I$21,2,FALSE),IF(J30="300",HLOOKUP($L$4,Fancoils!$B$12:$I$21,3,FALSE),IF(J30="400",HLOOKUP($L$4,Fancoils!$B$12:$I$21,4,FALSE),IF(J30="500",HLOOKUP($L$4,Fancoils!$B$12:$I$21,5,FALSE),IF(J30="600",HLOOKUP($L$4,Fancoils!$B$12:$I$21,6,FALSE),IF(J30="800",HLOOKUP($L$4,Fancoils!$B$12:$I$21,7,FALSE),IF(J30="1000",HLOOKUP($L$4,Fancoils!$B$12:$I$21,8,FALSE),IF(J30="1200",HLOOKUP($L$4,Fancoils!$B$12:$I$21,9,FALSE),IF(J30="1400",HLOOKUP($L$4,Fancoils!$B$12:$I$21,10,FALSE))))))))))</f>
        <v>7.02</v>
      </c>
      <c r="M30" s="10">
        <f>IF(J30="200",HLOOKUP($M$4,Fancoils!$B$12:$I$21,2,FALSE),IF(J30="300",HLOOKUP($M$4,Fancoils!$B$12:$I$21,3,FALSE),IF(J30="400",HLOOKUP($M$4,Fancoils!$B$12:$I$21,4,FALSE),IF(J30="500",HLOOKUP($M$4,Fancoils!$B$12:$I$21,5,FALSE),IF(J30="600",HLOOKUP($M$4,Fancoils!$B$12:$I$21,6,FALSE),IF(J30="800",HLOOKUP($M$4,Fancoils!$B$12:$I$21,7,FALSE),IF(J30="1000",HLOOKUP($M$4,Fancoils!$B$12:$I$21,8,FALSE),IF(J30="1200",HLOOKUP($M$4,Fancoils!$B$12:$I$21,9,FALSE),IF(J30="1400",HLOOKUP($M$4,Fancoils!$B$12:$I$21,10,FALSE))))))))))</f>
        <v>8.1</v>
      </c>
      <c r="N30" s="10">
        <f>IF(J30="200",HLOOKUP($N$4,Fancoils!$B$12:$I$21,2,FALSE),IF(J30="300",HLOOKUP($N$4,Fancoils!$B$12:$I$21,3,FALSE),IF(J30="400",HLOOKUP($N$4,Fancoils!$B$12:$I$21,4,FALSE),IF(J30="500",HLOOKUP($N$4,Fancoils!$B$12:$I$21,5,FALSE),IF(J30="600",HLOOKUP($N$4,Fancoils!$B$12:$I$21,6,FALSE),IF(J30="800",HLOOKUP($N$4,Fancoils!$B$12:$I$21,7,FALSE),IF(J30="1000",HLOOKUP($N$4,Fancoils!$B$12:$I$21,8,FALSE),IF(J30="1200",HLOOKUP($N$4,Fancoils!$B$12:$I$21,9,FALSE),IF(J30="1400",HLOOKUP($N$4,Fancoils!$B$12:$I$21,10,FALSE))))))))))</f>
        <v>1860</v>
      </c>
      <c r="O30" s="36">
        <f>REPORTE!P31</f>
        <v>120</v>
      </c>
      <c r="P30" s="36">
        <f t="shared" ref="P30:P31" si="34">O30*3.6</f>
        <v>432</v>
      </c>
      <c r="Q30" s="10">
        <f>IF(J30="200",HLOOKUP($Q$4,Fancoils!$B$12:$I$21,2,FALSE),IF(J30="300",HLOOKUP($Q$4,Fancoils!$B$12:$I$21,3,FALSE),IF(J30="400",HLOOKUP($Q$4,Fancoils!$B$12:$I$21,4,FALSE),IF(J30="500",HLOOKUP($Q$4,Fancoils!$B$12:$I$21,5,FALSE),IF(J30="600",HLOOKUP($Q$4,Fancoils!$B$12:$I$21,6,FALSE),IF(J30="800",HLOOKUP($Q$4,Fancoils!$B$12:$I$21,7,FALSE),IF(J30="1000",HLOOKUP($Q$4,Fancoils!$B$12:$I$21,8,FALSE),IF(J30="1200",HLOOKUP($Q$4,Fancoils!$B$12:$I$21,9,FALSE),IF(J30="1400",HLOOKUP($Q$4,Fancoils!$B$12:$I$21,10,FALSE))))))))))</f>
        <v>200</v>
      </c>
      <c r="R30" s="17" t="s">
        <v>18</v>
      </c>
      <c r="S30" s="17">
        <v>4</v>
      </c>
      <c r="T30" s="37">
        <f t="shared" ref="T30:T31" si="35">N30/S30</f>
        <v>465</v>
      </c>
      <c r="U30" s="20">
        <f t="shared" ref="U30:U31" si="36">N30-P30</f>
        <v>1428</v>
      </c>
      <c r="V30" s="59">
        <f t="shared" si="5"/>
        <v>7.75</v>
      </c>
      <c r="W30" s="12">
        <f>IF(J30="200",HLOOKUP($W$4,Fancoils!$B$12:$S$21,2,FALSE),IF(J30="300",HLOOKUP($W$4,Fancoils!$B$12:$S$21,3,FALSE),IF(J30="400",HLOOKUP($W$4,Fancoils!$B$12:$S$21,4,FALSE),IF(J30="500",HLOOKUP($W$4,Fancoils!$B$12:$S$21,5,FALSE),IF(J30="600",HLOOKUP($W$4,Fancoils!$B$12:$S$21,6,FALSE),IF(J30="800",HLOOKUP($W$4,Fancoils!$B$12:$S$21,7,FALSE),IF(J30="1000",HLOOKUP($W$4,Fancoils!$B$12:$S$21,8,FALSE),IF(J30="1200",HLOOKUP($W$4,Fancoils!$B$12:$S$21,9,FALSE),IF(J30="1400",HLOOKUP($W$4,Fancoils!$B$12:$S$21,10,FALSE))))))))))</f>
        <v>29.233333333333334</v>
      </c>
      <c r="X30" s="12">
        <f>IF(J30="200",HLOOKUP($X$4,Fancoils!$B$12:$S$21,2,FALSE),IF(J30="300",HLOOKUP($X$4,Fancoils!$B$12:$S$21,3,FALSE),IF(J30="400",HLOOKUP($X$4,Fancoils!$B$12:$S$21,4,FALSE),IF(J30="500",HLOOKUP($X$4,Fancoils!$B$12:$S$21,5,FALSE),IF(J30="600",HLOOKUP($X$4,Fancoils!$B$12:$S$21,6,FALSE),IF(J30="800",HLOOKUP($X$4,Fancoils!$B$12:$S$21,7,FALSE),IF(J30="1000",HLOOKUP($X$4,Fancoils!$B$12:$S$21,8,FALSE),IF(J30="1200",HLOOKUP($X$4,Fancoils!$B$12:$S$21,9,FALSE),IF(J30="1400",HLOOKUP($X$4,Fancoils!$B$12:$S$21,10,FALSE))))))))))</f>
        <v>19.333333333333332</v>
      </c>
      <c r="Y30" s="33" t="s">
        <v>121</v>
      </c>
      <c r="Z30" s="2">
        <f t="shared" si="6"/>
        <v>7.2</v>
      </c>
      <c r="AA30">
        <f>REPORTE!M31</f>
        <v>592</v>
      </c>
    </row>
    <row r="31" spans="1:30" s="33" customFormat="1" outlineLevel="1" x14ac:dyDescent="0.25">
      <c r="B31" s="17">
        <v>2</v>
      </c>
      <c r="C31" s="34" t="str">
        <f>REPORTE!A32</f>
        <v xml:space="preserve">2P 31 BOX CLINICO       </v>
      </c>
      <c r="D31" s="94" t="s">
        <v>328</v>
      </c>
      <c r="E31" s="17" t="s">
        <v>12</v>
      </c>
      <c r="F31" s="35">
        <f>REPORTE!B32</f>
        <v>7</v>
      </c>
      <c r="G31" s="35">
        <f>REPORTE!C32</f>
        <v>6.8</v>
      </c>
      <c r="H31" s="35">
        <f>REPORTE!J32</f>
        <v>3.7</v>
      </c>
      <c r="I31" s="35">
        <f>AA31*3.6</f>
        <v>2268</v>
      </c>
      <c r="J31" s="35" t="str">
        <f>+IF(G31&lt;1.38,"200",IF(AND(1.39&lt;G31,G31&lt;1.86),"300",IF(AND(1.87&lt;G31,G31&lt;2.48),"400",IF(AND(2.49&lt;G31,G31&lt;2.96),"500",IF(AND(2.97&lt;G31,G31&lt;3.44),"600",IF(AND(3.45&lt;G31,G31&lt;4.68),"800",IF(AND(4.69&lt;G31,G31&lt;5.37),"1000",IF(AND(5.38&lt;G31,G31&lt;7.02),"1200",IF(AND(7.1&lt;G31,G31&lt;7.92),"1400",)))))))))</f>
        <v>1200</v>
      </c>
      <c r="K31" s="17">
        <f>IF(J31="200",HLOOKUP($K$4,Fancoils!$B$12:$I$21,2,FALSE),IF(J31="300",HLOOKUP($K$4,Fancoils!$B$12:$I$21,3,FALSE),IF(J31="400",HLOOKUP($K$4,Fancoils!$B$12:$I$21,4,FALSE),IF(J31="500",HLOOKUP($K$4,Fancoils!$B$12:$I$21,5,FALSE),IF(J31="600",HLOOKUP($K$4,Fancoils!$B$12:$I$21,6,FALSE),IF(J31="800",HLOOKUP($K$4,Fancoils!$B$12:$I$21,7,FALSE),IF(J31="1000",HLOOKUP($K$4,Fancoils!$B$12:$I$21,8,FALSE),IF(J31="1200",HLOOKUP($K$4,Fancoils!$B$12:$I$21,9,FALSE),IF(J31="1400",HLOOKUP($K$4,Fancoils!$B$12:$I$21,10,FALSE))))))))))</f>
        <v>10.199999999999999</v>
      </c>
      <c r="L31" s="17">
        <f>IF(J31="200",HLOOKUP($L$4,Fancoils!$B$12:$I$21,2,FALSE),IF(J31="300",HLOOKUP($L$4,Fancoils!$B$12:$I$21,3,FALSE),IF(J31="400",HLOOKUP($L$4,Fancoils!$B$12:$I$21,4,FALSE),IF(J31="500",HLOOKUP($L$4,Fancoils!$B$12:$I$21,5,FALSE),IF(J31="600",HLOOKUP($L$4,Fancoils!$B$12:$I$21,6,FALSE),IF(J31="800",HLOOKUP($L$4,Fancoils!$B$12:$I$21,7,FALSE),IF(J31="1000",HLOOKUP($L$4,Fancoils!$B$12:$I$21,8,FALSE),IF(J31="1200",HLOOKUP($L$4,Fancoils!$B$12:$I$21,9,FALSE),IF(J31="1400",HLOOKUP($L$4,Fancoils!$B$12:$I$21,10,FALSE))))))))))</f>
        <v>7.02</v>
      </c>
      <c r="M31" s="17">
        <f>IF(J31="200",HLOOKUP($M$4,Fancoils!$B$12:$I$21,2,FALSE),IF(J31="300",HLOOKUP($M$4,Fancoils!$B$12:$I$21,3,FALSE),IF(J31="400",HLOOKUP($M$4,Fancoils!$B$12:$I$21,4,FALSE),IF(J31="500",HLOOKUP($M$4,Fancoils!$B$12:$I$21,5,FALSE),IF(J31="600",HLOOKUP($M$4,Fancoils!$B$12:$I$21,6,FALSE),IF(J31="800",HLOOKUP($M$4,Fancoils!$B$12:$I$21,7,FALSE),IF(J31="1000",HLOOKUP($M$4,Fancoils!$B$12:$I$21,8,FALSE),IF(J31="1200",HLOOKUP($M$4,Fancoils!$B$12:$I$21,9,FALSE),IF(J31="1400",HLOOKUP($M$4,Fancoils!$B$12:$I$21,10,FALSE))))))))))</f>
        <v>8.1</v>
      </c>
      <c r="N31" s="17">
        <f>IF(J31="200",HLOOKUP($N$4,Fancoils!$B$12:$I$21,2,FALSE),IF(J31="300",HLOOKUP($N$4,Fancoils!$B$12:$I$21,3,FALSE),IF(J31="400",HLOOKUP($N$4,Fancoils!$B$12:$I$21,4,FALSE),IF(J31="500",HLOOKUP($N$4,Fancoils!$B$12:$I$21,5,FALSE),IF(J31="600",HLOOKUP($N$4,Fancoils!$B$12:$I$21,6,FALSE),IF(J31="800",HLOOKUP($N$4,Fancoils!$B$12:$I$21,7,FALSE),IF(J31="1000",HLOOKUP($N$4,Fancoils!$B$12:$I$21,8,FALSE),IF(J31="1200",HLOOKUP($N$4,Fancoils!$B$12:$I$21,9,FALSE),IF(J31="1400",HLOOKUP($N$4,Fancoils!$B$12:$I$21,10,FALSE))))))))))</f>
        <v>1860</v>
      </c>
      <c r="O31" s="36">
        <f>REPORTE!P32</f>
        <v>117</v>
      </c>
      <c r="P31" s="36">
        <f t="shared" si="34"/>
        <v>421.2</v>
      </c>
      <c r="Q31" s="17">
        <f>IF(J31="200",HLOOKUP($Q$4,Fancoils!$B$12:$I$21,2,FALSE),IF(J31="300",HLOOKUP($Q$4,Fancoils!$B$12:$I$21,3,FALSE),IF(J31="400",HLOOKUP($Q$4,Fancoils!$B$12:$I$21,4,FALSE),IF(J31="500",HLOOKUP($Q$4,Fancoils!$B$12:$I$21,5,FALSE),IF(J31="600",HLOOKUP($Q$4,Fancoils!$B$12:$I$21,6,FALSE),IF(J31="800",HLOOKUP($Q$4,Fancoils!$B$12:$I$21,7,FALSE),IF(J31="1000",HLOOKUP($Q$4,Fancoils!$B$12:$I$21,8,FALSE),IF(J31="1200",HLOOKUP($Q$4,Fancoils!$B$12:$I$21,9,FALSE),IF(J31="1400",HLOOKUP($Q$4,Fancoils!$B$12:$I$21,10,FALSE))))))))))</f>
        <v>200</v>
      </c>
      <c r="R31" s="17" t="s">
        <v>18</v>
      </c>
      <c r="S31" s="17">
        <v>4</v>
      </c>
      <c r="T31" s="37">
        <f t="shared" si="35"/>
        <v>465</v>
      </c>
      <c r="U31" s="20">
        <f t="shared" si="36"/>
        <v>1438.8</v>
      </c>
      <c r="V31" s="87">
        <f t="shared" si="5"/>
        <v>7.75</v>
      </c>
      <c r="W31" s="35">
        <f>IF(J31="200",HLOOKUP($W$4,Fancoils!$B$12:$S$21,2,FALSE),IF(J31="300",HLOOKUP($W$4,Fancoils!$B$12:$S$21,3,FALSE),IF(J31="400",HLOOKUP($W$4,Fancoils!$B$12:$S$21,4,FALSE),IF(J31="500",HLOOKUP($W$4,Fancoils!$B$12:$S$21,5,FALSE),IF(J31="600",HLOOKUP($W$4,Fancoils!$B$12:$S$21,6,FALSE),IF(J31="800",HLOOKUP($W$4,Fancoils!$B$12:$S$21,7,FALSE),IF(J31="1000",HLOOKUP($W$4,Fancoils!$B$12:$S$21,8,FALSE),IF(J31="1200",HLOOKUP($W$4,Fancoils!$B$12:$S$21,9,FALSE),IF(J31="1400",HLOOKUP($W$4,Fancoils!$B$12:$S$21,10,FALSE))))))))))</f>
        <v>29.233333333333334</v>
      </c>
      <c r="X31" s="35">
        <f>IF(J31="200",HLOOKUP($X$4,Fancoils!$B$12:$S$21,2,FALSE),IF(J31="300",HLOOKUP($X$4,Fancoils!$B$12:$S$21,3,FALSE),IF(J31="400",HLOOKUP($X$4,Fancoils!$B$12:$S$21,4,FALSE),IF(J31="500",HLOOKUP($X$4,Fancoils!$B$12:$S$21,5,FALSE),IF(J31="600",HLOOKUP($X$4,Fancoils!$B$12:$S$21,6,FALSE),IF(J31="800",HLOOKUP($X$4,Fancoils!$B$12:$S$21,7,FALSE),IF(J31="1000",HLOOKUP($X$4,Fancoils!$B$12:$S$21,8,FALSE),IF(J31="1200",HLOOKUP($X$4,Fancoils!$B$12:$S$21,9,FALSE),IF(J31="1400",HLOOKUP($X$4,Fancoils!$B$12:$S$21,10,FALSE))))))))))</f>
        <v>19.333333333333332</v>
      </c>
      <c r="Y31" s="33" t="s">
        <v>121</v>
      </c>
      <c r="Z31" s="84">
        <f t="shared" si="6"/>
        <v>7.02</v>
      </c>
      <c r="AA31" s="33">
        <f>REPORTE!M32</f>
        <v>630</v>
      </c>
      <c r="AB31" s="33">
        <f>SUM(Z31:Z39)+Z51+Z52</f>
        <v>99.84</v>
      </c>
      <c r="AC31" s="33" t="s">
        <v>372</v>
      </c>
    </row>
    <row r="32" spans="1:30" s="33" customFormat="1" outlineLevel="1" x14ac:dyDescent="0.25">
      <c r="B32" s="17">
        <v>2</v>
      </c>
      <c r="C32" s="34" t="str">
        <f>REPORTE!A33</f>
        <v xml:space="preserve">2P 32 BOX CLINICO       </v>
      </c>
      <c r="D32" s="95"/>
      <c r="E32" s="17"/>
      <c r="F32" s="35"/>
      <c r="G32" s="35"/>
      <c r="H32" s="35"/>
      <c r="I32" s="35"/>
      <c r="J32" s="35"/>
      <c r="K32" s="17"/>
      <c r="L32" s="17"/>
      <c r="M32" s="17"/>
      <c r="N32" s="17"/>
      <c r="O32" s="36"/>
      <c r="P32" s="36"/>
      <c r="Q32" s="17"/>
      <c r="R32" s="17"/>
      <c r="S32" s="17"/>
      <c r="T32" s="37"/>
      <c r="U32" s="20"/>
      <c r="V32" s="87">
        <f t="shared" si="5"/>
        <v>0</v>
      </c>
      <c r="W32" s="35"/>
      <c r="X32" s="35"/>
      <c r="Z32" s="84"/>
      <c r="AA32" s="33">
        <f>REPORTE!M33</f>
        <v>0</v>
      </c>
    </row>
    <row r="33" spans="2:30" s="33" customFormat="1" outlineLevel="1" x14ac:dyDescent="0.25">
      <c r="B33" s="17">
        <v>2</v>
      </c>
      <c r="C33" s="34" t="str">
        <f>REPORTE!A34</f>
        <v xml:space="preserve">2P 33 BOX CLINICO       </v>
      </c>
      <c r="D33" s="94" t="s">
        <v>329</v>
      </c>
      <c r="E33" s="17" t="s">
        <v>12</v>
      </c>
      <c r="F33" s="35">
        <f>REPORTE!B34</f>
        <v>4.8</v>
      </c>
      <c r="G33" s="35">
        <f>REPORTE!C34</f>
        <v>4.5999999999999996</v>
      </c>
      <c r="H33" s="35">
        <f>REPORTE!J34</f>
        <v>3.4</v>
      </c>
      <c r="I33" s="35">
        <f>AA33*3.6</f>
        <v>1537.2</v>
      </c>
      <c r="J33" s="35" t="str">
        <f t="shared" si="7"/>
        <v>800</v>
      </c>
      <c r="K33" s="17">
        <f>IF(J33="200",HLOOKUP($K$4,Fancoils!$B$12:$I$21,2,FALSE),IF(J33="300",HLOOKUP($K$4,Fancoils!$B$12:$I$21,3,FALSE),IF(J33="400",HLOOKUP($K$4,Fancoils!$B$12:$I$21,4,FALSE),IF(J33="500",HLOOKUP($K$4,Fancoils!$B$12:$I$21,5,FALSE),IF(J33="600",HLOOKUP($K$4,Fancoils!$B$12:$I$21,6,FALSE),IF(J33="800",HLOOKUP($K$4,Fancoils!$B$12:$I$21,7,FALSE),IF(J33="1000",HLOOKUP($K$4,Fancoils!$B$12:$I$21,8,FALSE),IF(J33="1200",HLOOKUP($K$4,Fancoils!$B$12:$I$21,9,FALSE),IF(J33="1400",HLOOKUP($K$4,Fancoils!$B$12:$I$21,10,FALSE))))))))))</f>
        <v>6.8</v>
      </c>
      <c r="L33" s="17">
        <f>IF(J33="200",HLOOKUP($L$4,Fancoils!$B$12:$I$21,2,FALSE),IF(J33="300",HLOOKUP($L$4,Fancoils!$B$12:$I$21,3,FALSE),IF(J33="400",HLOOKUP($L$4,Fancoils!$B$12:$I$21,4,FALSE),IF(J33="500",HLOOKUP($L$4,Fancoils!$B$12:$I$21,5,FALSE),IF(J33="600",HLOOKUP($L$4,Fancoils!$B$12:$I$21,6,FALSE),IF(J33="800",HLOOKUP($L$4,Fancoils!$B$12:$I$21,7,FALSE),IF(J33="1000",HLOOKUP($L$4,Fancoils!$B$12:$I$21,8,FALSE),IF(J33="1200",HLOOKUP($L$4,Fancoils!$B$12:$I$21,9,FALSE),IF(J33="1400",HLOOKUP($L$4,Fancoils!$B$12:$I$21,10,FALSE))))))))))</f>
        <v>4.68</v>
      </c>
      <c r="M33" s="17">
        <f>IF(J33="200",HLOOKUP($M$4,Fancoils!$B$12:$I$21,2,FALSE),IF(J33="300",HLOOKUP($M$4,Fancoils!$B$12:$I$21,3,FALSE),IF(J33="400",HLOOKUP($M$4,Fancoils!$B$12:$I$21,4,FALSE),IF(J33="500",HLOOKUP($M$4,Fancoils!$B$12:$I$21,5,FALSE),IF(J33="600",HLOOKUP($M$4,Fancoils!$B$12:$I$21,6,FALSE),IF(J33="800",HLOOKUP($M$4,Fancoils!$B$12:$I$21,7,FALSE),IF(J33="1000",HLOOKUP($M$4,Fancoils!$B$12:$I$21,8,FALSE),IF(J33="1200",HLOOKUP($M$4,Fancoils!$B$12:$I$21,9,FALSE),IF(J33="1400",HLOOKUP($M$4,Fancoils!$B$12:$I$21,10,FALSE))))))))))</f>
        <v>5.76</v>
      </c>
      <c r="N33" s="17">
        <f>IF(J33="200",HLOOKUP($N$4,Fancoils!$B$12:$I$21,2,FALSE),IF(J33="300",HLOOKUP($N$4,Fancoils!$B$12:$I$21,3,FALSE),IF(J33="400",HLOOKUP($N$4,Fancoils!$B$12:$I$21,4,FALSE),IF(J33="500",HLOOKUP($N$4,Fancoils!$B$12:$I$21,5,FALSE),IF(J33="600",HLOOKUP($N$4,Fancoils!$B$12:$I$21,6,FALSE),IF(J33="800",HLOOKUP($N$4,Fancoils!$B$12:$I$21,7,FALSE),IF(J33="1000",HLOOKUP($N$4,Fancoils!$B$12:$I$21,8,FALSE),IF(J33="1200",HLOOKUP($N$4,Fancoils!$B$12:$I$21,9,FALSE),IF(J33="1400",HLOOKUP($N$4,Fancoils!$B$12:$I$21,10,FALSE))))))))))</f>
        <v>1360</v>
      </c>
      <c r="O33" s="36">
        <f>REPORTE!P34</f>
        <v>118</v>
      </c>
      <c r="P33" s="36">
        <f t="shared" ref="P33" si="37">O33*3.6</f>
        <v>424.8</v>
      </c>
      <c r="Q33" s="17">
        <f>IF(J33="200",HLOOKUP($Q$4,Fancoils!$B$12:$I$21,2,FALSE),IF(J33="300",HLOOKUP($Q$4,Fancoils!$B$12:$I$21,3,FALSE),IF(J33="400",HLOOKUP($Q$4,Fancoils!$B$12:$I$21,4,FALSE),IF(J33="500",HLOOKUP($Q$4,Fancoils!$B$12:$I$21,5,FALSE),IF(J33="600",HLOOKUP($Q$4,Fancoils!$B$12:$I$21,6,FALSE),IF(J33="800",HLOOKUP($Q$4,Fancoils!$B$12:$I$21,7,FALSE),IF(J33="1000",HLOOKUP($Q$4,Fancoils!$B$12:$I$21,8,FALSE),IF(J33="1200",HLOOKUP($Q$4,Fancoils!$B$12:$I$21,9,FALSE),IF(J33="1400",HLOOKUP($Q$4,Fancoils!$B$12:$I$21,10,FALSE))))))))))</f>
        <v>198</v>
      </c>
      <c r="R33" s="17" t="s">
        <v>18</v>
      </c>
      <c r="S33" s="17">
        <v>4</v>
      </c>
      <c r="T33" s="37">
        <f t="shared" ref="T33" si="38">N33/S33</f>
        <v>340</v>
      </c>
      <c r="U33" s="20">
        <f t="shared" ref="U33" si="39">N33-P33</f>
        <v>935.2</v>
      </c>
      <c r="V33" s="87">
        <f t="shared" si="5"/>
        <v>5.666666666666667</v>
      </c>
      <c r="W33" s="35">
        <f>IF(J33="200",HLOOKUP($W$4,Fancoils!$B$12:$S$21,2,FALSE),IF(J33="300",HLOOKUP($W$4,Fancoils!$B$12:$S$21,3,FALSE),IF(J33="400",HLOOKUP($W$4,Fancoils!$B$12:$S$21,4,FALSE),IF(J33="500",HLOOKUP($W$4,Fancoils!$B$12:$S$21,5,FALSE),IF(J33="600",HLOOKUP($W$4,Fancoils!$B$12:$S$21,6,FALSE),IF(J33="800",HLOOKUP($W$4,Fancoils!$B$12:$S$21,7,FALSE),IF(J33="1000",HLOOKUP($W$4,Fancoils!$B$12:$S$21,8,FALSE),IF(J33="1200",HLOOKUP($W$4,Fancoils!$B$12:$S$21,9,FALSE),IF(J33="1400",HLOOKUP($W$4,Fancoils!$B$12:$S$21,10,FALSE))))))))))</f>
        <v>19.5</v>
      </c>
      <c r="X33" s="35">
        <f>IF(J33="200",HLOOKUP($X$4,Fancoils!$B$12:$S$21,2,FALSE),IF(J33="300",HLOOKUP($X$4,Fancoils!$B$12:$S$21,3,FALSE),IF(J33="400",HLOOKUP($X$4,Fancoils!$B$12:$S$21,4,FALSE),IF(J33="500",HLOOKUP($X$4,Fancoils!$B$12:$S$21,5,FALSE),IF(J33="600",HLOOKUP($X$4,Fancoils!$B$12:$S$21,6,FALSE),IF(J33="800",HLOOKUP($X$4,Fancoils!$B$12:$S$21,7,FALSE),IF(J33="1000",HLOOKUP($X$4,Fancoils!$B$12:$S$21,8,FALSE),IF(J33="1200",HLOOKUP($X$4,Fancoils!$B$12:$S$21,9,FALSE),IF(J33="1400",HLOOKUP($X$4,Fancoils!$B$12:$S$21,10,FALSE))))))))))</f>
        <v>13.833333333333332</v>
      </c>
      <c r="Y33" s="33" t="s">
        <v>121</v>
      </c>
      <c r="Z33" s="84">
        <f t="shared" si="6"/>
        <v>7.08</v>
      </c>
      <c r="AA33" s="33">
        <f>REPORTE!M34</f>
        <v>427</v>
      </c>
    </row>
    <row r="34" spans="2:30" s="33" customFormat="1" outlineLevel="1" x14ac:dyDescent="0.25">
      <c r="B34" s="17">
        <v>2</v>
      </c>
      <c r="C34" s="34" t="str">
        <f>REPORTE!A35</f>
        <v xml:space="preserve">2P 34 BOX CLINICO       </v>
      </c>
      <c r="D34" s="95"/>
      <c r="E34" s="17"/>
      <c r="F34" s="35"/>
      <c r="G34" s="35"/>
      <c r="H34" s="35"/>
      <c r="I34" s="35"/>
      <c r="J34" s="35"/>
      <c r="K34" s="17"/>
      <c r="L34" s="17"/>
      <c r="M34" s="17"/>
      <c r="N34" s="17"/>
      <c r="O34" s="36"/>
      <c r="P34" s="36"/>
      <c r="Q34" s="17"/>
      <c r="R34" s="17"/>
      <c r="S34" s="17"/>
      <c r="T34" s="37"/>
      <c r="U34" s="20"/>
      <c r="V34" s="87">
        <f t="shared" si="5"/>
        <v>0</v>
      </c>
      <c r="W34" s="35"/>
      <c r="X34" s="35"/>
      <c r="Z34" s="84"/>
      <c r="AA34" s="33">
        <f>REPORTE!M35</f>
        <v>0</v>
      </c>
    </row>
    <row r="35" spans="2:30" s="33" customFormat="1" outlineLevel="1" x14ac:dyDescent="0.25">
      <c r="B35" s="17">
        <v>2</v>
      </c>
      <c r="C35" s="34" t="str">
        <f>REPORTE!A36</f>
        <v xml:space="preserve">2P 35 BOX CLINICO       </v>
      </c>
      <c r="D35" s="94" t="s">
        <v>330</v>
      </c>
      <c r="E35" s="17" t="s">
        <v>12</v>
      </c>
      <c r="F35" s="35">
        <f>REPORTE!B36</f>
        <v>4.8</v>
      </c>
      <c r="G35" s="35">
        <f>REPORTE!C36</f>
        <v>4.5999999999999996</v>
      </c>
      <c r="H35" s="35">
        <f>REPORTE!J36</f>
        <v>3.4</v>
      </c>
      <c r="I35" s="35">
        <f>AA35*3.6</f>
        <v>1537.2</v>
      </c>
      <c r="J35" s="35" t="str">
        <f t="shared" si="7"/>
        <v>800</v>
      </c>
      <c r="K35" s="17">
        <f>IF(J35="200",HLOOKUP($K$4,Fancoils!$B$12:$I$21,2,FALSE),IF(J35="300",HLOOKUP($K$4,Fancoils!$B$12:$I$21,3,FALSE),IF(J35="400",HLOOKUP($K$4,Fancoils!$B$12:$I$21,4,FALSE),IF(J35="500",HLOOKUP($K$4,Fancoils!$B$12:$I$21,5,FALSE),IF(J35="600",HLOOKUP($K$4,Fancoils!$B$12:$I$21,6,FALSE),IF(J35="800",HLOOKUP($K$4,Fancoils!$B$12:$I$21,7,FALSE),IF(J35="1000",HLOOKUP($K$4,Fancoils!$B$12:$I$21,8,FALSE),IF(J35="1200",HLOOKUP($K$4,Fancoils!$B$12:$I$21,9,FALSE),IF(J35="1400",HLOOKUP($K$4,Fancoils!$B$12:$I$21,10,FALSE))))))))))</f>
        <v>6.8</v>
      </c>
      <c r="L35" s="17">
        <f>IF(J35="200",HLOOKUP($L$4,Fancoils!$B$12:$I$21,2,FALSE),IF(J35="300",HLOOKUP($L$4,Fancoils!$B$12:$I$21,3,FALSE),IF(J35="400",HLOOKUP($L$4,Fancoils!$B$12:$I$21,4,FALSE),IF(J35="500",HLOOKUP($L$4,Fancoils!$B$12:$I$21,5,FALSE),IF(J35="600",HLOOKUP($L$4,Fancoils!$B$12:$I$21,6,FALSE),IF(J35="800",HLOOKUP($L$4,Fancoils!$B$12:$I$21,7,FALSE),IF(J35="1000",HLOOKUP($L$4,Fancoils!$B$12:$I$21,8,FALSE),IF(J35="1200",HLOOKUP($L$4,Fancoils!$B$12:$I$21,9,FALSE),IF(J35="1400",HLOOKUP($L$4,Fancoils!$B$12:$I$21,10,FALSE))))))))))</f>
        <v>4.68</v>
      </c>
      <c r="M35" s="17">
        <f>IF(J35="200",HLOOKUP($M$4,Fancoils!$B$12:$I$21,2,FALSE),IF(J35="300",HLOOKUP($M$4,Fancoils!$B$12:$I$21,3,FALSE),IF(J35="400",HLOOKUP($M$4,Fancoils!$B$12:$I$21,4,FALSE),IF(J35="500",HLOOKUP($M$4,Fancoils!$B$12:$I$21,5,FALSE),IF(J35="600",HLOOKUP($M$4,Fancoils!$B$12:$I$21,6,FALSE),IF(J35="800",HLOOKUP($M$4,Fancoils!$B$12:$I$21,7,FALSE),IF(J35="1000",HLOOKUP($M$4,Fancoils!$B$12:$I$21,8,FALSE),IF(J35="1200",HLOOKUP($M$4,Fancoils!$B$12:$I$21,9,FALSE),IF(J35="1400",HLOOKUP($M$4,Fancoils!$B$12:$I$21,10,FALSE))))))))))</f>
        <v>5.76</v>
      </c>
      <c r="N35" s="17">
        <f>IF(J35="200",HLOOKUP($N$4,Fancoils!$B$12:$I$21,2,FALSE),IF(J35="300",HLOOKUP($N$4,Fancoils!$B$12:$I$21,3,FALSE),IF(J35="400",HLOOKUP($N$4,Fancoils!$B$12:$I$21,4,FALSE),IF(J35="500",HLOOKUP($N$4,Fancoils!$B$12:$I$21,5,FALSE),IF(J35="600",HLOOKUP($N$4,Fancoils!$B$12:$I$21,6,FALSE),IF(J35="800",HLOOKUP($N$4,Fancoils!$B$12:$I$21,7,FALSE),IF(J35="1000",HLOOKUP($N$4,Fancoils!$B$12:$I$21,8,FALSE),IF(J35="1200",HLOOKUP($N$4,Fancoils!$B$12:$I$21,9,FALSE),IF(J35="1400",HLOOKUP($N$4,Fancoils!$B$12:$I$21,10,FALSE))))))))))</f>
        <v>1360</v>
      </c>
      <c r="O35" s="36">
        <f>REPORTE!P36</f>
        <v>118</v>
      </c>
      <c r="P35" s="36">
        <f t="shared" ref="P35" si="40">O35*3.6</f>
        <v>424.8</v>
      </c>
      <c r="Q35" s="17">
        <f>IF(J35="200",HLOOKUP($Q$4,Fancoils!$B$12:$I$21,2,FALSE),IF(J35="300",HLOOKUP($Q$4,Fancoils!$B$12:$I$21,3,FALSE),IF(J35="400",HLOOKUP($Q$4,Fancoils!$B$12:$I$21,4,FALSE),IF(J35="500",HLOOKUP($Q$4,Fancoils!$B$12:$I$21,5,FALSE),IF(J35="600",HLOOKUP($Q$4,Fancoils!$B$12:$I$21,6,FALSE),IF(J35="800",HLOOKUP($Q$4,Fancoils!$B$12:$I$21,7,FALSE),IF(J35="1000",HLOOKUP($Q$4,Fancoils!$B$12:$I$21,8,FALSE),IF(J35="1200",HLOOKUP($Q$4,Fancoils!$B$12:$I$21,9,FALSE),IF(J35="1400",HLOOKUP($Q$4,Fancoils!$B$12:$I$21,10,FALSE))))))))))</f>
        <v>198</v>
      </c>
      <c r="R35" s="17" t="s">
        <v>18</v>
      </c>
      <c r="S35" s="17">
        <v>4</v>
      </c>
      <c r="T35" s="37">
        <f t="shared" ref="T35" si="41">N35/S35</f>
        <v>340</v>
      </c>
      <c r="U35" s="20">
        <f t="shared" ref="U35" si="42">N35-P35</f>
        <v>935.2</v>
      </c>
      <c r="V35" s="87">
        <f t="shared" si="5"/>
        <v>5.666666666666667</v>
      </c>
      <c r="W35" s="35">
        <f>IF(J35="200",HLOOKUP($W$4,Fancoils!$B$12:$S$21,2,FALSE),IF(J35="300",HLOOKUP($W$4,Fancoils!$B$12:$S$21,3,FALSE),IF(J35="400",HLOOKUP($W$4,Fancoils!$B$12:$S$21,4,FALSE),IF(J35="500",HLOOKUP($W$4,Fancoils!$B$12:$S$21,5,FALSE),IF(J35="600",HLOOKUP($W$4,Fancoils!$B$12:$S$21,6,FALSE),IF(J35="800",HLOOKUP($W$4,Fancoils!$B$12:$S$21,7,FALSE),IF(J35="1000",HLOOKUP($W$4,Fancoils!$B$12:$S$21,8,FALSE),IF(J35="1200",HLOOKUP($W$4,Fancoils!$B$12:$S$21,9,FALSE),IF(J35="1400",HLOOKUP($W$4,Fancoils!$B$12:$S$21,10,FALSE))))))))))</f>
        <v>19.5</v>
      </c>
      <c r="X35" s="35">
        <f>IF(J35="200",HLOOKUP($X$4,Fancoils!$B$12:$S$21,2,FALSE),IF(J35="300",HLOOKUP($X$4,Fancoils!$B$12:$S$21,3,FALSE),IF(J35="400",HLOOKUP($X$4,Fancoils!$B$12:$S$21,4,FALSE),IF(J35="500",HLOOKUP($X$4,Fancoils!$B$12:$S$21,5,FALSE),IF(J35="600",HLOOKUP($X$4,Fancoils!$B$12:$S$21,6,FALSE),IF(J35="800",HLOOKUP($X$4,Fancoils!$B$12:$S$21,7,FALSE),IF(J35="1000",HLOOKUP($X$4,Fancoils!$B$12:$S$21,8,FALSE),IF(J35="1200",HLOOKUP($X$4,Fancoils!$B$12:$S$21,9,FALSE),IF(J35="1400",HLOOKUP($X$4,Fancoils!$B$12:$S$21,10,FALSE))))))))))</f>
        <v>13.833333333333332</v>
      </c>
      <c r="Y35" s="33" t="s">
        <v>121</v>
      </c>
      <c r="Z35" s="84">
        <f t="shared" si="6"/>
        <v>7.08</v>
      </c>
      <c r="AA35" s="33">
        <f>REPORTE!M36</f>
        <v>427</v>
      </c>
    </row>
    <row r="36" spans="2:30" s="33" customFormat="1" outlineLevel="1" x14ac:dyDescent="0.25">
      <c r="B36" s="17">
        <v>2</v>
      </c>
      <c r="C36" s="34" t="str">
        <f>REPORTE!A37</f>
        <v xml:space="preserve">2P 36 BOX CLINICO       </v>
      </c>
      <c r="D36" s="95"/>
      <c r="E36" s="17"/>
      <c r="F36" s="35"/>
      <c r="G36" s="35"/>
      <c r="H36" s="35"/>
      <c r="I36" s="35"/>
      <c r="J36" s="35"/>
      <c r="K36" s="17"/>
      <c r="L36" s="17"/>
      <c r="M36" s="17"/>
      <c r="N36" s="17"/>
      <c r="O36" s="36"/>
      <c r="P36" s="36"/>
      <c r="Q36" s="17"/>
      <c r="R36" s="17"/>
      <c r="S36" s="17"/>
      <c r="T36" s="37"/>
      <c r="U36" s="20"/>
      <c r="V36" s="87">
        <f t="shared" si="5"/>
        <v>0</v>
      </c>
      <c r="W36" s="35"/>
      <c r="X36" s="35"/>
      <c r="Z36" s="84"/>
      <c r="AA36" s="33">
        <f>REPORTE!M37</f>
        <v>0</v>
      </c>
      <c r="AB36" s="33" t="s">
        <v>374</v>
      </c>
      <c r="AC36" s="33">
        <f>AB31+AB41+AC8</f>
        <v>217.04400000000001</v>
      </c>
      <c r="AD36" s="33" t="s">
        <v>373</v>
      </c>
    </row>
    <row r="37" spans="2:30" s="33" customFormat="1" outlineLevel="1" x14ac:dyDescent="0.25">
      <c r="B37" s="17">
        <v>2</v>
      </c>
      <c r="C37" s="34" t="str">
        <f>REPORTE!A38</f>
        <v xml:space="preserve">2P 37 BOX DENTAL        </v>
      </c>
      <c r="D37" s="94" t="s">
        <v>331</v>
      </c>
      <c r="E37" s="17" t="s">
        <v>12</v>
      </c>
      <c r="F37" s="35">
        <f>REPORTE!B38</f>
        <v>5.6</v>
      </c>
      <c r="G37" s="35">
        <f>REPORTE!C38</f>
        <v>5.5</v>
      </c>
      <c r="H37" s="35">
        <f>REPORTE!J38</f>
        <v>3.8</v>
      </c>
      <c r="I37" s="35">
        <f>AA37*3.6</f>
        <v>1828.8</v>
      </c>
      <c r="J37" s="35" t="str">
        <f t="shared" ref="J37:J47" si="43">+IF(G37&lt;1.38,"200",IF(AND(1.39&lt;G37,G37&lt;1.86),"300",IF(AND(1.87&lt;G37,G37&lt;2.48),"400",IF(AND(2.49&lt;G37,G37&lt;2.96),"500",IF(AND(2.97&lt;G37,G37&lt;3.44),"600",IF(AND(3.45&lt;G37,G37&lt;4.68),"800",IF(AND(4.69&lt;G37,G37&lt;5.37),"1000",IF(AND(5.38&lt;G37,G37&lt;7.02),"1200",IF(AND(7.1&lt;G37,G37&gt;7.92),"1400",)))))))))</f>
        <v>1200</v>
      </c>
      <c r="K37" s="17">
        <f>IF(J37="200",HLOOKUP($K$4,Fancoils!$B$12:$I$21,2,FALSE),IF(J37="300",HLOOKUP($K$4,Fancoils!$B$12:$I$21,3,FALSE),IF(J37="400",HLOOKUP($K$4,Fancoils!$B$12:$I$21,4,FALSE),IF(J37="500",HLOOKUP($K$4,Fancoils!$B$12:$I$21,5,FALSE),IF(J37="600",HLOOKUP($K$4,Fancoils!$B$12:$I$21,6,FALSE),IF(J37="800",HLOOKUP($K$4,Fancoils!$B$12:$I$21,7,FALSE),IF(J37="1000",HLOOKUP($K$4,Fancoils!$B$12:$I$21,8,FALSE),IF(J37="1200",HLOOKUP($K$4,Fancoils!$B$12:$I$21,9,FALSE),IF(J37="1400",HLOOKUP($K$4,Fancoils!$B$12:$I$21,10,FALSE))))))))))</f>
        <v>10.199999999999999</v>
      </c>
      <c r="L37" s="17">
        <f>IF(J37="200",HLOOKUP($L$4,Fancoils!$B$12:$I$21,2,FALSE),IF(J37="300",HLOOKUP($L$4,Fancoils!$B$12:$I$21,3,FALSE),IF(J37="400",HLOOKUP($L$4,Fancoils!$B$12:$I$21,4,FALSE),IF(J37="500",HLOOKUP($L$4,Fancoils!$B$12:$I$21,5,FALSE),IF(J37="600",HLOOKUP($L$4,Fancoils!$B$12:$I$21,6,FALSE),IF(J37="800",HLOOKUP($L$4,Fancoils!$B$12:$I$21,7,FALSE),IF(J37="1000",HLOOKUP($L$4,Fancoils!$B$12:$I$21,8,FALSE),IF(J37="1200",HLOOKUP($L$4,Fancoils!$B$12:$I$21,9,FALSE),IF(J37="1400",HLOOKUP($L$4,Fancoils!$B$12:$I$21,10,FALSE))))))))))</f>
        <v>7.02</v>
      </c>
      <c r="M37" s="17">
        <f>IF(J37="200",HLOOKUP($M$4,Fancoils!$B$12:$I$21,2,FALSE),IF(J37="300",HLOOKUP($M$4,Fancoils!$B$12:$I$21,3,FALSE),IF(J37="400",HLOOKUP($M$4,Fancoils!$B$12:$I$21,4,FALSE),IF(J37="500",HLOOKUP($M$4,Fancoils!$B$12:$I$21,5,FALSE),IF(J37="600",HLOOKUP($M$4,Fancoils!$B$12:$I$21,6,FALSE),IF(J37="800",HLOOKUP($M$4,Fancoils!$B$12:$I$21,7,FALSE),IF(J37="1000",HLOOKUP($M$4,Fancoils!$B$12:$I$21,8,FALSE),IF(J37="1200",HLOOKUP($M$4,Fancoils!$B$12:$I$21,9,FALSE),IF(J37="1400",HLOOKUP($M$4,Fancoils!$B$12:$I$21,10,FALSE))))))))))</f>
        <v>8.1</v>
      </c>
      <c r="N37" s="17">
        <f>IF(J37="200",HLOOKUP($N$4,Fancoils!$B$12:$I$21,2,FALSE),IF(J37="300",HLOOKUP($N$4,Fancoils!$B$12:$I$21,3,FALSE),IF(J37="400",HLOOKUP($N$4,Fancoils!$B$12:$I$21,4,FALSE),IF(J37="500",HLOOKUP($N$4,Fancoils!$B$12:$I$21,5,FALSE),IF(J37="600",HLOOKUP($N$4,Fancoils!$B$12:$I$21,6,FALSE),IF(J37="800",HLOOKUP($N$4,Fancoils!$B$12:$I$21,7,FALSE),IF(J37="1000",HLOOKUP($N$4,Fancoils!$B$12:$I$21,8,FALSE),IF(J37="1200",HLOOKUP($N$4,Fancoils!$B$12:$I$21,9,FALSE),IF(J37="1400",HLOOKUP($N$4,Fancoils!$B$12:$I$21,10,FALSE))))))))))</f>
        <v>1860</v>
      </c>
      <c r="O37" s="36">
        <f>REPORTE!P38</f>
        <v>144</v>
      </c>
      <c r="P37" s="36">
        <f t="shared" ref="P37:P47" si="44">O37*3.6</f>
        <v>518.4</v>
      </c>
      <c r="Q37" s="17">
        <f>IF(J37="200",HLOOKUP($Q$4,Fancoils!$B$12:$I$21,2,FALSE),IF(J37="300",HLOOKUP($Q$4,Fancoils!$B$12:$I$21,3,FALSE),IF(J37="400",HLOOKUP($Q$4,Fancoils!$B$12:$I$21,4,FALSE),IF(J37="500",HLOOKUP($Q$4,Fancoils!$B$12:$I$21,5,FALSE),IF(J37="600",HLOOKUP($Q$4,Fancoils!$B$12:$I$21,6,FALSE),IF(J37="800",HLOOKUP($Q$4,Fancoils!$B$12:$I$21,7,FALSE),IF(J37="1000",HLOOKUP($Q$4,Fancoils!$B$12:$I$21,8,FALSE),IF(J37="1200",HLOOKUP($Q$4,Fancoils!$B$12:$I$21,9,FALSE),IF(J37="1400",HLOOKUP($Q$4,Fancoils!$B$12:$I$21,10,FALSE))))))))))</f>
        <v>200</v>
      </c>
      <c r="R37" s="17" t="s">
        <v>18</v>
      </c>
      <c r="S37" s="17">
        <v>4</v>
      </c>
      <c r="T37" s="37">
        <f t="shared" ref="T37:T47" si="45">N37/S37</f>
        <v>465</v>
      </c>
      <c r="U37" s="20">
        <f t="shared" ref="U37:U47" si="46">N37-P37</f>
        <v>1341.6</v>
      </c>
      <c r="V37" s="87">
        <f t="shared" si="5"/>
        <v>7.75</v>
      </c>
      <c r="W37" s="35">
        <f>IF(J37="200",HLOOKUP($W$4,Fancoils!$B$12:$S$21,2,FALSE),IF(J37="300",HLOOKUP($W$4,Fancoils!$B$12:$S$21,3,FALSE),IF(J37="400",HLOOKUP($W$4,Fancoils!$B$12:$S$21,4,FALSE),IF(J37="500",HLOOKUP($W$4,Fancoils!$B$12:$S$21,5,FALSE),IF(J37="600",HLOOKUP($W$4,Fancoils!$B$12:$S$21,6,FALSE),IF(J37="800",HLOOKUP($W$4,Fancoils!$B$12:$S$21,7,FALSE),IF(J37="1000",HLOOKUP($W$4,Fancoils!$B$12:$S$21,8,FALSE),IF(J37="1200",HLOOKUP($W$4,Fancoils!$B$12:$S$21,9,FALSE),IF(J37="1400",HLOOKUP($W$4,Fancoils!$B$12:$S$21,10,FALSE))))))))))</f>
        <v>29.233333333333334</v>
      </c>
      <c r="X37" s="35">
        <f>IF(J37="200",HLOOKUP($X$4,Fancoils!$B$12:$S$21,2,FALSE),IF(J37="300",HLOOKUP($X$4,Fancoils!$B$12:$S$21,3,FALSE),IF(J37="400",HLOOKUP($X$4,Fancoils!$B$12:$S$21,4,FALSE),IF(J37="500",HLOOKUP($X$4,Fancoils!$B$12:$S$21,5,FALSE),IF(J37="600",HLOOKUP($X$4,Fancoils!$B$12:$S$21,6,FALSE),IF(J37="800",HLOOKUP($X$4,Fancoils!$B$12:$S$21,7,FALSE),IF(J37="1000",HLOOKUP($X$4,Fancoils!$B$12:$S$21,8,FALSE),IF(J37="1200",HLOOKUP($X$4,Fancoils!$B$12:$S$21,9,FALSE),IF(J37="1400",HLOOKUP($X$4,Fancoils!$B$12:$S$21,10,FALSE))))))))))</f>
        <v>19.333333333333332</v>
      </c>
      <c r="Y37" s="33" t="s">
        <v>121</v>
      </c>
      <c r="Z37" s="84">
        <f t="shared" si="6"/>
        <v>8.6399999999999988</v>
      </c>
      <c r="AA37" s="33">
        <f>REPORTE!M38</f>
        <v>508</v>
      </c>
    </row>
    <row r="38" spans="2:30" s="33" customFormat="1" outlineLevel="1" x14ac:dyDescent="0.25">
      <c r="B38" s="17">
        <v>2</v>
      </c>
      <c r="C38" s="34" t="str">
        <f>REPORTE!A39</f>
        <v xml:space="preserve">2P 38 BOX DENTAL        </v>
      </c>
      <c r="D38" s="95"/>
      <c r="E38" s="17"/>
      <c r="F38" s="35"/>
      <c r="G38" s="35"/>
      <c r="H38" s="35"/>
      <c r="I38" s="35"/>
      <c r="J38" s="35"/>
      <c r="K38" s="17"/>
      <c r="L38" s="17"/>
      <c r="M38" s="17"/>
      <c r="N38" s="17"/>
      <c r="O38" s="36"/>
      <c r="P38" s="36"/>
      <c r="Q38" s="17"/>
      <c r="R38" s="17"/>
      <c r="S38" s="17"/>
      <c r="T38" s="37"/>
      <c r="U38" s="20"/>
      <c r="V38" s="87">
        <f t="shared" si="5"/>
        <v>0</v>
      </c>
      <c r="W38" s="35"/>
      <c r="X38" s="35"/>
      <c r="Z38" s="84"/>
      <c r="AA38" s="33">
        <f>REPORTE!M39</f>
        <v>0</v>
      </c>
    </row>
    <row r="39" spans="2:30" s="33" customFormat="1" outlineLevel="1" x14ac:dyDescent="0.25">
      <c r="B39" s="17">
        <v>2</v>
      </c>
      <c r="C39" s="34" t="str">
        <f>REPORTE!A40</f>
        <v xml:space="preserve">2P 39 TRAB CLIN GRUPAL  </v>
      </c>
      <c r="D39" s="94" t="s">
        <v>332</v>
      </c>
      <c r="E39" s="17" t="s">
        <v>12</v>
      </c>
      <c r="F39" s="35">
        <f>REPORTE!B40</f>
        <v>5.6</v>
      </c>
      <c r="G39" s="35">
        <f>REPORTE!C40</f>
        <v>5.5</v>
      </c>
      <c r="H39" s="35">
        <f>REPORTE!J40</f>
        <v>3.8</v>
      </c>
      <c r="I39" s="35">
        <f t="shared" ref="I39:I45" si="47">AA39*3.6</f>
        <v>1828.8</v>
      </c>
      <c r="J39" s="35" t="str">
        <f t="shared" ref="J39:J45" si="48">+IF(G39&lt;1.38,"200",IF(AND(1.39&lt;G39,G39&lt;1.86),"300",IF(AND(1.87&lt;G39,G39&lt;2.48),"400",IF(AND(2.49&lt;G39,G39&lt;2.96),"500",IF(AND(2.97&lt;G39,G39&lt;3.44),"600",IF(AND(3.45&lt;G39,G39&lt;4.68),"800",IF(AND(4.69&lt;G39,G39&lt;5.37),"1000",IF(AND(5.38&lt;G39,G39&lt;7.02),"1200",IF(AND(7.1&lt;G39,G39&gt;7.92),"1400",)))))))))</f>
        <v>1200</v>
      </c>
      <c r="K39" s="17">
        <f>IF(J39="200",HLOOKUP($K$4,Fancoils!$B$12:$I$21,2,FALSE),IF(J39="300",HLOOKUP($K$4,Fancoils!$B$12:$I$21,3,FALSE),IF(J39="400",HLOOKUP($K$4,Fancoils!$B$12:$I$21,4,FALSE),IF(J39="500",HLOOKUP($K$4,Fancoils!$B$12:$I$21,5,FALSE),IF(J39="600",HLOOKUP($K$4,Fancoils!$B$12:$I$21,6,FALSE),IF(J39="800",HLOOKUP($K$4,Fancoils!$B$12:$I$21,7,FALSE),IF(J39="1000",HLOOKUP($K$4,Fancoils!$B$12:$I$21,8,FALSE),IF(J39="1200",HLOOKUP($K$4,Fancoils!$B$12:$I$21,9,FALSE),IF(J39="1400",HLOOKUP($K$4,Fancoils!$B$12:$I$21,10,FALSE))))))))))</f>
        <v>10.199999999999999</v>
      </c>
      <c r="L39" s="17">
        <f>IF(J39="200",HLOOKUP($L$4,Fancoils!$B$12:$I$21,2,FALSE),IF(J39="300",HLOOKUP($L$4,Fancoils!$B$12:$I$21,3,FALSE),IF(J39="400",HLOOKUP($L$4,Fancoils!$B$12:$I$21,4,FALSE),IF(J39="500",HLOOKUP($L$4,Fancoils!$B$12:$I$21,5,FALSE),IF(J39="600",HLOOKUP($L$4,Fancoils!$B$12:$I$21,6,FALSE),IF(J39="800",HLOOKUP($L$4,Fancoils!$B$12:$I$21,7,FALSE),IF(J39="1000",HLOOKUP($L$4,Fancoils!$B$12:$I$21,8,FALSE),IF(J39="1200",HLOOKUP($L$4,Fancoils!$B$12:$I$21,9,FALSE),IF(J39="1400",HLOOKUP($L$4,Fancoils!$B$12:$I$21,10,FALSE))))))))))</f>
        <v>7.02</v>
      </c>
      <c r="M39" s="17">
        <f>IF(J39="200",HLOOKUP($M$4,Fancoils!$B$12:$I$21,2,FALSE),IF(J39="300",HLOOKUP($M$4,Fancoils!$B$12:$I$21,3,FALSE),IF(J39="400",HLOOKUP($M$4,Fancoils!$B$12:$I$21,4,FALSE),IF(J39="500",HLOOKUP($M$4,Fancoils!$B$12:$I$21,5,FALSE),IF(J39="600",HLOOKUP($M$4,Fancoils!$B$12:$I$21,6,FALSE),IF(J39="800",HLOOKUP($M$4,Fancoils!$B$12:$I$21,7,FALSE),IF(J39="1000",HLOOKUP($M$4,Fancoils!$B$12:$I$21,8,FALSE),IF(J39="1200",HLOOKUP($M$4,Fancoils!$B$12:$I$21,9,FALSE),IF(J39="1400",HLOOKUP($M$4,Fancoils!$B$12:$I$21,10,FALSE))))))))))</f>
        <v>8.1</v>
      </c>
      <c r="N39" s="17">
        <f>IF(J39="200",HLOOKUP($N$4,Fancoils!$B$12:$I$21,2,FALSE),IF(J39="300",HLOOKUP($N$4,Fancoils!$B$12:$I$21,3,FALSE),IF(J39="400",HLOOKUP($N$4,Fancoils!$B$12:$I$21,4,FALSE),IF(J39="500",HLOOKUP($N$4,Fancoils!$B$12:$I$21,5,FALSE),IF(J39="600",HLOOKUP($N$4,Fancoils!$B$12:$I$21,6,FALSE),IF(J39="800",HLOOKUP($N$4,Fancoils!$B$12:$I$21,7,FALSE),IF(J39="1000",HLOOKUP($N$4,Fancoils!$B$12:$I$21,8,FALSE),IF(J39="1200",HLOOKUP($N$4,Fancoils!$B$12:$I$21,9,FALSE),IF(J39="1400",HLOOKUP($N$4,Fancoils!$B$12:$I$21,10,FALSE))))))))))</f>
        <v>1860</v>
      </c>
      <c r="O39" s="36">
        <f>REPORTE!P40</f>
        <v>144</v>
      </c>
      <c r="P39" s="36">
        <f t="shared" ref="P39:P45" si="49">O39*3.6</f>
        <v>518.4</v>
      </c>
      <c r="Q39" s="17">
        <f>IF(J39="200",HLOOKUP($Q$4,Fancoils!$B$12:$I$21,2,FALSE),IF(J39="300",HLOOKUP($Q$4,Fancoils!$B$12:$I$21,3,FALSE),IF(J39="400",HLOOKUP($Q$4,Fancoils!$B$12:$I$21,4,FALSE),IF(J39="500",HLOOKUP($Q$4,Fancoils!$B$12:$I$21,5,FALSE),IF(J39="600",HLOOKUP($Q$4,Fancoils!$B$12:$I$21,6,FALSE),IF(J39="800",HLOOKUP($Q$4,Fancoils!$B$12:$I$21,7,FALSE),IF(J39="1000",HLOOKUP($Q$4,Fancoils!$B$12:$I$21,8,FALSE),IF(J39="1200",HLOOKUP($Q$4,Fancoils!$B$12:$I$21,9,FALSE),IF(J39="1400",HLOOKUP($Q$4,Fancoils!$B$12:$I$21,10,FALSE))))))))))</f>
        <v>200</v>
      </c>
      <c r="R39" s="17" t="s">
        <v>49</v>
      </c>
      <c r="S39" s="17">
        <v>4</v>
      </c>
      <c r="T39" s="37">
        <f t="shared" ref="T39:T45" si="50">N39/S39</f>
        <v>465</v>
      </c>
      <c r="U39" s="20">
        <f t="shared" ref="U39:U45" si="51">N39-P39</f>
        <v>1341.6</v>
      </c>
      <c r="V39" s="87">
        <f t="shared" si="5"/>
        <v>7.75</v>
      </c>
      <c r="W39" s="35">
        <f>IF(J39="200",HLOOKUP($W$4,Fancoils!$B$12:$S$21,2,FALSE),IF(J39="300",HLOOKUP($W$4,Fancoils!$B$12:$S$21,3,FALSE),IF(J39="400",HLOOKUP($W$4,Fancoils!$B$12:$S$21,4,FALSE),IF(J39="500",HLOOKUP($W$4,Fancoils!$B$12:$S$21,5,FALSE),IF(J39="600",HLOOKUP($W$4,Fancoils!$B$12:$S$21,6,FALSE),IF(J39="800",HLOOKUP($W$4,Fancoils!$B$12:$S$21,7,FALSE),IF(J39="1000",HLOOKUP($W$4,Fancoils!$B$12:$S$21,8,FALSE),IF(J39="1200",HLOOKUP($W$4,Fancoils!$B$12:$S$21,9,FALSE),IF(J39="1400",HLOOKUP($W$4,Fancoils!$B$12:$S$21,10,FALSE))))))))))</f>
        <v>29.233333333333334</v>
      </c>
      <c r="X39" s="35">
        <f>IF(J39="200",HLOOKUP($X$4,Fancoils!$B$12:$S$21,2,FALSE),IF(J39="300",HLOOKUP($X$4,Fancoils!$B$12:$S$21,3,FALSE),IF(J39="400",HLOOKUP($X$4,Fancoils!$B$12:$S$21,4,FALSE),IF(J39="500",HLOOKUP($X$4,Fancoils!$B$12:$S$21,5,FALSE),IF(J39="600",HLOOKUP($X$4,Fancoils!$B$12:$S$21,6,FALSE),IF(J39="800",HLOOKUP($X$4,Fancoils!$B$12:$S$21,7,FALSE),IF(J39="1000",HLOOKUP($X$4,Fancoils!$B$12:$S$21,8,FALSE),IF(J39="1200",HLOOKUP($X$4,Fancoils!$B$12:$S$21,9,FALSE),IF(J39="1400",HLOOKUP($X$4,Fancoils!$B$12:$S$21,10,FALSE))))))))))</f>
        <v>19.333333333333332</v>
      </c>
      <c r="Y39" s="33" t="s">
        <v>121</v>
      </c>
      <c r="Z39" s="84">
        <f t="shared" si="6"/>
        <v>8.6399999999999988</v>
      </c>
      <c r="AA39" s="33">
        <f>REPORTE!M40</f>
        <v>508</v>
      </c>
    </row>
    <row r="40" spans="2:30" s="33" customFormat="1" outlineLevel="1" x14ac:dyDescent="0.25">
      <c r="B40" s="17">
        <v>2</v>
      </c>
      <c r="C40" s="34" t="str">
        <f>REPORTE!A41</f>
        <v xml:space="preserve">2P 40 SOME SATELITE </v>
      </c>
      <c r="D40" s="95"/>
      <c r="E40" s="17"/>
      <c r="F40" s="35"/>
      <c r="G40" s="35"/>
      <c r="H40" s="35"/>
      <c r="I40" s="35"/>
      <c r="J40" s="35"/>
      <c r="K40" s="17"/>
      <c r="L40" s="17"/>
      <c r="M40" s="17"/>
      <c r="N40" s="17"/>
      <c r="O40" s="36"/>
      <c r="P40" s="36"/>
      <c r="Q40" s="17"/>
      <c r="R40" s="17"/>
      <c r="S40" s="17"/>
      <c r="T40" s="37"/>
      <c r="U40" s="20"/>
      <c r="V40" s="87">
        <f t="shared" si="5"/>
        <v>0</v>
      </c>
      <c r="W40" s="35"/>
      <c r="X40" s="35"/>
      <c r="Z40" s="84"/>
      <c r="AA40" s="33">
        <f>REPORTE!M41</f>
        <v>0</v>
      </c>
    </row>
    <row r="41" spans="2:30" s="33" customFormat="1" outlineLevel="1" x14ac:dyDescent="0.25">
      <c r="B41" s="17">
        <v>2</v>
      </c>
      <c r="C41" s="34" t="str">
        <f>REPORTE!A42</f>
        <v xml:space="preserve">2P 41 BOX CLINICO </v>
      </c>
      <c r="D41" s="94" t="s">
        <v>333</v>
      </c>
      <c r="E41" s="17" t="s">
        <v>12</v>
      </c>
      <c r="F41" s="35">
        <f>REPORTE!B42</f>
        <v>5.4</v>
      </c>
      <c r="G41" s="35">
        <f>REPORTE!C42</f>
        <v>5.4</v>
      </c>
      <c r="H41" s="35">
        <f>REPORTE!J42</f>
        <v>3.7</v>
      </c>
      <c r="I41" s="35">
        <f t="shared" si="47"/>
        <v>1911.6000000000001</v>
      </c>
      <c r="J41" s="35" t="str">
        <f t="shared" si="48"/>
        <v>1200</v>
      </c>
      <c r="K41" s="17">
        <f>IF(J41="200",HLOOKUP($K$4,Fancoils!$B$12:$I$21,2,FALSE),IF(J41="300",HLOOKUP($K$4,Fancoils!$B$12:$I$21,3,FALSE),IF(J41="400",HLOOKUP($K$4,Fancoils!$B$12:$I$21,4,FALSE),IF(J41="500",HLOOKUP($K$4,Fancoils!$B$12:$I$21,5,FALSE),IF(J41="600",HLOOKUP($K$4,Fancoils!$B$12:$I$21,6,FALSE),IF(J41="800",HLOOKUP($K$4,Fancoils!$B$12:$I$21,7,FALSE),IF(J41="1000",HLOOKUP($K$4,Fancoils!$B$12:$I$21,8,FALSE),IF(J41="1200",HLOOKUP($K$4,Fancoils!$B$12:$I$21,9,FALSE),IF(J41="1400",HLOOKUP($K$4,Fancoils!$B$12:$I$21,10,FALSE))))))))))</f>
        <v>10.199999999999999</v>
      </c>
      <c r="L41" s="17">
        <f>IF(J41="200",HLOOKUP($L$4,Fancoils!$B$12:$I$21,2,FALSE),IF(J41="300",HLOOKUP($L$4,Fancoils!$B$12:$I$21,3,FALSE),IF(J41="400",HLOOKUP($L$4,Fancoils!$B$12:$I$21,4,FALSE),IF(J41="500",HLOOKUP($L$4,Fancoils!$B$12:$I$21,5,FALSE),IF(J41="600",HLOOKUP($L$4,Fancoils!$B$12:$I$21,6,FALSE),IF(J41="800",HLOOKUP($L$4,Fancoils!$B$12:$I$21,7,FALSE),IF(J41="1000",HLOOKUP($L$4,Fancoils!$B$12:$I$21,8,FALSE),IF(J41="1200",HLOOKUP($L$4,Fancoils!$B$12:$I$21,9,FALSE),IF(J41="1400",HLOOKUP($L$4,Fancoils!$B$12:$I$21,10,FALSE))))))))))</f>
        <v>7.02</v>
      </c>
      <c r="M41" s="17">
        <f>IF(J41="200",HLOOKUP($M$4,Fancoils!$B$12:$I$21,2,FALSE),IF(J41="300",HLOOKUP($M$4,Fancoils!$B$12:$I$21,3,FALSE),IF(J41="400",HLOOKUP($M$4,Fancoils!$B$12:$I$21,4,FALSE),IF(J41="500",HLOOKUP($M$4,Fancoils!$B$12:$I$21,5,FALSE),IF(J41="600",HLOOKUP($M$4,Fancoils!$B$12:$I$21,6,FALSE),IF(J41="800",HLOOKUP($M$4,Fancoils!$B$12:$I$21,7,FALSE),IF(J41="1000",HLOOKUP($M$4,Fancoils!$B$12:$I$21,8,FALSE),IF(J41="1200",HLOOKUP($M$4,Fancoils!$B$12:$I$21,9,FALSE),IF(J41="1400",HLOOKUP($M$4,Fancoils!$B$12:$I$21,10,FALSE))))))))))</f>
        <v>8.1</v>
      </c>
      <c r="N41" s="17">
        <f>IF(J41="200",HLOOKUP($N$4,Fancoils!$B$12:$I$21,2,FALSE),IF(J41="300",HLOOKUP($N$4,Fancoils!$B$12:$I$21,3,FALSE),IF(J41="400",HLOOKUP($N$4,Fancoils!$B$12:$I$21,4,FALSE),IF(J41="500",HLOOKUP($N$4,Fancoils!$B$12:$I$21,5,FALSE),IF(J41="600",HLOOKUP($N$4,Fancoils!$B$12:$I$21,6,FALSE),IF(J41="800",HLOOKUP($N$4,Fancoils!$B$12:$I$21,7,FALSE),IF(J41="1000",HLOOKUP($N$4,Fancoils!$B$12:$I$21,8,FALSE),IF(J41="1200",HLOOKUP($N$4,Fancoils!$B$12:$I$21,9,FALSE),IF(J41="1400",HLOOKUP($N$4,Fancoils!$B$12:$I$21,10,FALSE))))))))))</f>
        <v>1860</v>
      </c>
      <c r="O41" s="36">
        <f>REPORTE!P42</f>
        <v>116</v>
      </c>
      <c r="P41" s="36">
        <f t="shared" si="49"/>
        <v>417.6</v>
      </c>
      <c r="Q41" s="17">
        <f>IF(J41="200",HLOOKUP($Q$4,Fancoils!$B$12:$I$21,2,FALSE),IF(J41="300",HLOOKUP($Q$4,Fancoils!$B$12:$I$21,3,FALSE),IF(J41="400",HLOOKUP($Q$4,Fancoils!$B$12:$I$21,4,FALSE),IF(J41="500",HLOOKUP($Q$4,Fancoils!$B$12:$I$21,5,FALSE),IF(J41="600",HLOOKUP($Q$4,Fancoils!$B$12:$I$21,6,FALSE),IF(J41="800",HLOOKUP($Q$4,Fancoils!$B$12:$I$21,7,FALSE),IF(J41="1000",HLOOKUP($Q$4,Fancoils!$B$12:$I$21,8,FALSE),IF(J41="1200",HLOOKUP($Q$4,Fancoils!$B$12:$I$21,9,FALSE),IF(J41="1400",HLOOKUP($Q$4,Fancoils!$B$12:$I$21,10,FALSE))))))))))</f>
        <v>200</v>
      </c>
      <c r="R41" s="17" t="s">
        <v>370</v>
      </c>
      <c r="S41" s="17">
        <v>4</v>
      </c>
      <c r="T41" s="37">
        <f t="shared" si="50"/>
        <v>465</v>
      </c>
      <c r="U41" s="20">
        <f t="shared" si="51"/>
        <v>1442.4</v>
      </c>
      <c r="V41" s="87">
        <f t="shared" si="5"/>
        <v>7.75</v>
      </c>
      <c r="W41" s="35">
        <f>IF(J41="200",HLOOKUP($W$4,Fancoils!$B$12:$S$21,2,FALSE),IF(J41="300",HLOOKUP($W$4,Fancoils!$B$12:$S$21,3,FALSE),IF(J41="400",HLOOKUP($W$4,Fancoils!$B$12:$S$21,4,FALSE),IF(J41="500",HLOOKUP($W$4,Fancoils!$B$12:$S$21,5,FALSE),IF(J41="600",HLOOKUP($W$4,Fancoils!$B$12:$S$21,6,FALSE),IF(J41="800",HLOOKUP($W$4,Fancoils!$B$12:$S$21,7,FALSE),IF(J41="1000",HLOOKUP($W$4,Fancoils!$B$12:$S$21,8,FALSE),IF(J41="1200",HLOOKUP($W$4,Fancoils!$B$12:$S$21,9,FALSE),IF(J41="1400",HLOOKUP($W$4,Fancoils!$B$12:$S$21,10,FALSE))))))))))</f>
        <v>29.233333333333334</v>
      </c>
      <c r="X41" s="35">
        <f>IF(J41="200",HLOOKUP($X$4,Fancoils!$B$12:$S$21,2,FALSE),IF(J41="300",HLOOKUP($X$4,Fancoils!$B$12:$S$21,3,FALSE),IF(J41="400",HLOOKUP($X$4,Fancoils!$B$12:$S$21,4,FALSE),IF(J41="500",HLOOKUP($X$4,Fancoils!$B$12:$S$21,5,FALSE),IF(J41="600",HLOOKUP($X$4,Fancoils!$B$12:$S$21,6,FALSE),IF(J41="800",HLOOKUP($X$4,Fancoils!$B$12:$S$21,7,FALSE),IF(J41="1000",HLOOKUP($X$4,Fancoils!$B$12:$S$21,8,FALSE),IF(J41="1200",HLOOKUP($X$4,Fancoils!$B$12:$S$21,9,FALSE),IF(J41="1400",HLOOKUP($X$4,Fancoils!$B$12:$S$21,10,FALSE))))))))))</f>
        <v>19.333333333333332</v>
      </c>
      <c r="Y41" s="33" t="s">
        <v>121</v>
      </c>
      <c r="Z41" s="84">
        <f t="shared" si="6"/>
        <v>6.96</v>
      </c>
      <c r="AA41" s="33">
        <f>REPORTE!M42</f>
        <v>531</v>
      </c>
      <c r="AB41" s="33">
        <f>SUM(Z41:Z44)</f>
        <v>15.6</v>
      </c>
      <c r="AC41" s="33" t="s">
        <v>122</v>
      </c>
    </row>
    <row r="42" spans="2:30" s="33" customFormat="1" outlineLevel="1" x14ac:dyDescent="0.25">
      <c r="B42" s="17">
        <v>2</v>
      </c>
      <c r="C42" s="34" t="str">
        <f>REPORTE!A43</f>
        <v>2P 42 BOX CLINICO</v>
      </c>
      <c r="D42" s="95"/>
      <c r="E42" s="17"/>
      <c r="F42" s="35"/>
      <c r="G42" s="35"/>
      <c r="H42" s="35"/>
      <c r="I42" s="35"/>
      <c r="J42" s="35"/>
      <c r="K42" s="17"/>
      <c r="L42" s="17"/>
      <c r="M42" s="17"/>
      <c r="N42" s="17"/>
      <c r="O42" s="36"/>
      <c r="P42" s="36"/>
      <c r="Q42" s="17"/>
      <c r="R42" s="17"/>
      <c r="S42" s="17"/>
      <c r="T42" s="37"/>
      <c r="U42" s="20"/>
      <c r="V42" s="87">
        <f t="shared" si="5"/>
        <v>0</v>
      </c>
      <c r="W42" s="35"/>
      <c r="X42" s="35"/>
      <c r="Z42" s="84"/>
      <c r="AA42" s="33">
        <f>REPORTE!M43</f>
        <v>0</v>
      </c>
    </row>
    <row r="43" spans="2:30" s="33" customFormat="1" outlineLevel="1" x14ac:dyDescent="0.25">
      <c r="B43" s="17">
        <v>2</v>
      </c>
      <c r="C43" s="34" t="str">
        <f>REPORTE!A44</f>
        <v>2P 43 BOX PSICOLOGO</v>
      </c>
      <c r="D43" s="88" t="s">
        <v>334</v>
      </c>
      <c r="E43" s="17" t="s">
        <v>12</v>
      </c>
      <c r="F43" s="35">
        <f>REPORTE!B44</f>
        <v>1.8</v>
      </c>
      <c r="G43" s="35">
        <f>REPORTE!C44</f>
        <v>1.8</v>
      </c>
      <c r="H43" s="35">
        <f>REPORTE!J44</f>
        <v>1.6</v>
      </c>
      <c r="I43" s="35">
        <f t="shared" si="47"/>
        <v>633.6</v>
      </c>
      <c r="J43" s="35" t="str">
        <f t="shared" si="48"/>
        <v>300</v>
      </c>
      <c r="K43" s="17">
        <f>IF(J43="200",HLOOKUP($K$4,Fancoils!$B$12:$I$21,2,FALSE),IF(J43="300",HLOOKUP($K$4,Fancoils!$B$12:$I$21,3,FALSE),IF(J43="400",HLOOKUP($K$4,Fancoils!$B$12:$I$21,4,FALSE),IF(J43="500",HLOOKUP($K$4,Fancoils!$B$12:$I$21,5,FALSE),IF(J43="600",HLOOKUP($K$4,Fancoils!$B$12:$I$21,6,FALSE),IF(J43="800",HLOOKUP($K$4,Fancoils!$B$12:$I$21,7,FALSE),IF(J43="1000",HLOOKUP($K$4,Fancoils!$B$12:$I$21,8,FALSE),IF(J43="1200",HLOOKUP($K$4,Fancoils!$B$12:$I$21,9,FALSE),IF(J43="1400",HLOOKUP($K$4,Fancoils!$B$12:$I$21,10,FALSE))))))))))</f>
        <v>2.7</v>
      </c>
      <c r="L43" s="17">
        <f>IF(J43="200",HLOOKUP($L$4,Fancoils!$B$12:$I$21,2,FALSE),IF(J43="300",HLOOKUP($L$4,Fancoils!$B$12:$I$21,3,FALSE),IF(J43="400",HLOOKUP($L$4,Fancoils!$B$12:$I$21,4,FALSE),IF(J43="500",HLOOKUP($L$4,Fancoils!$B$12:$I$21,5,FALSE),IF(J43="600",HLOOKUP($L$4,Fancoils!$B$12:$I$21,6,FALSE),IF(J43="800",HLOOKUP($L$4,Fancoils!$B$12:$I$21,7,FALSE),IF(J43="1000",HLOOKUP($L$4,Fancoils!$B$12:$I$21,8,FALSE),IF(J43="1200",HLOOKUP($L$4,Fancoils!$B$12:$I$21,9,FALSE),IF(J43="1400",HLOOKUP($L$4,Fancoils!$B$12:$I$21,10,FALSE))))))))))</f>
        <v>1.86</v>
      </c>
      <c r="M43" s="17">
        <f>IF(J43="200",HLOOKUP($M$4,Fancoils!$B$12:$I$21,2,FALSE),IF(J43="300",HLOOKUP($M$4,Fancoils!$B$12:$I$21,3,FALSE),IF(J43="400",HLOOKUP($M$4,Fancoils!$B$12:$I$21,4,FALSE),IF(J43="500",HLOOKUP($M$4,Fancoils!$B$12:$I$21,5,FALSE),IF(J43="600",HLOOKUP($M$4,Fancoils!$B$12:$I$21,6,FALSE),IF(J43="800",HLOOKUP($M$4,Fancoils!$B$12:$I$21,7,FALSE),IF(J43="1000",HLOOKUP($M$4,Fancoils!$B$12:$I$21,8,FALSE),IF(J43="1200",HLOOKUP($M$4,Fancoils!$B$12:$I$21,9,FALSE),IF(J43="1400",HLOOKUP($M$4,Fancoils!$B$12:$I$21,10,FALSE))))))))))</f>
        <v>2.4</v>
      </c>
      <c r="N43" s="17">
        <f>IF(J43="200",HLOOKUP($N$4,Fancoils!$B$12:$I$21,2,FALSE),IF(J43="300",HLOOKUP($N$4,Fancoils!$B$12:$I$21,3,FALSE),IF(J43="400",HLOOKUP($N$4,Fancoils!$B$12:$I$21,4,FALSE),IF(J43="500",HLOOKUP($N$4,Fancoils!$B$12:$I$21,5,FALSE),IF(J43="600",HLOOKUP($N$4,Fancoils!$B$12:$I$21,6,FALSE),IF(J43="800",HLOOKUP($N$4,Fancoils!$B$12:$I$21,7,FALSE),IF(J43="1000",HLOOKUP($N$4,Fancoils!$B$12:$I$21,8,FALSE),IF(J43="1200",HLOOKUP($N$4,Fancoils!$B$12:$I$21,9,FALSE),IF(J43="1400",HLOOKUP($N$4,Fancoils!$B$12:$I$21,10,FALSE))))))))))</f>
        <v>510</v>
      </c>
      <c r="O43" s="36">
        <f>REPORTE!P44</f>
        <v>58</v>
      </c>
      <c r="P43" s="36">
        <f t="shared" si="49"/>
        <v>208.8</v>
      </c>
      <c r="Q43" s="17">
        <f>IF(J43="200",HLOOKUP($Q$4,Fancoils!$B$12:$I$21,2,FALSE),IF(J43="300",HLOOKUP($Q$4,Fancoils!$B$12:$I$21,3,FALSE),IF(J43="400",HLOOKUP($Q$4,Fancoils!$B$12:$I$21,4,FALSE),IF(J43="500",HLOOKUP($Q$4,Fancoils!$B$12:$I$21,5,FALSE),IF(J43="600",HLOOKUP($Q$4,Fancoils!$B$12:$I$21,6,FALSE),IF(J43="800",HLOOKUP($Q$4,Fancoils!$B$12:$I$21,7,FALSE),IF(J43="1000",HLOOKUP($Q$4,Fancoils!$B$12:$I$21,8,FALSE),IF(J43="1200",HLOOKUP($Q$4,Fancoils!$B$12:$I$21,9,FALSE),IF(J43="1400",HLOOKUP($Q$4,Fancoils!$B$12:$I$21,10,FALSE))))))))))</f>
        <v>50</v>
      </c>
      <c r="R43" s="17" t="s">
        <v>371</v>
      </c>
      <c r="S43" s="17">
        <v>2</v>
      </c>
      <c r="T43" s="37">
        <f t="shared" si="50"/>
        <v>255</v>
      </c>
      <c r="U43" s="20">
        <f t="shared" si="51"/>
        <v>301.2</v>
      </c>
      <c r="V43" s="87">
        <f t="shared" si="5"/>
        <v>4.25</v>
      </c>
      <c r="W43" s="35">
        <f>IF(J43="200",HLOOKUP($W$4,Fancoils!$B$12:$S$21,2,FALSE),IF(J43="300",HLOOKUP($W$4,Fancoils!$B$12:$S$21,3,FALSE),IF(J43="400",HLOOKUP($W$4,Fancoils!$B$12:$S$21,4,FALSE),IF(J43="500",HLOOKUP($W$4,Fancoils!$B$12:$S$21,5,FALSE),IF(J43="600",HLOOKUP($W$4,Fancoils!$B$12:$S$21,6,FALSE),IF(J43="800",HLOOKUP($W$4,Fancoils!$B$12:$S$21,7,FALSE),IF(J43="1000",HLOOKUP($W$4,Fancoils!$B$12:$S$21,8,FALSE),IF(J43="1200",HLOOKUP($W$4,Fancoils!$B$12:$S$21,9,FALSE),IF(J43="1400",HLOOKUP($W$4,Fancoils!$B$12:$S$21,10,FALSE))))))))))</f>
        <v>7.7333333333333334</v>
      </c>
      <c r="X43" s="35">
        <f>IF(J43="200",HLOOKUP($X$4,Fancoils!$B$12:$S$21,2,FALSE),IF(J43="300",HLOOKUP($X$4,Fancoils!$B$12:$S$21,3,FALSE),IF(J43="400",HLOOKUP($X$4,Fancoils!$B$12:$S$21,4,FALSE),IF(J43="500",HLOOKUP($X$4,Fancoils!$B$12:$S$21,5,FALSE),IF(J43="600",HLOOKUP($X$4,Fancoils!$B$12:$S$21,6,FALSE),IF(J43="800",HLOOKUP($X$4,Fancoils!$B$12:$S$21,7,FALSE),IF(J43="1000",HLOOKUP($X$4,Fancoils!$B$12:$S$21,8,FALSE),IF(J43="1200",HLOOKUP($X$4,Fancoils!$B$12:$S$21,9,FALSE),IF(J43="1400",HLOOKUP($X$4,Fancoils!$B$12:$S$21,10,FALSE))))))))))</f>
        <v>5.666666666666667</v>
      </c>
      <c r="Y43" s="33" t="s">
        <v>357</v>
      </c>
      <c r="Z43" s="84">
        <f t="shared" si="6"/>
        <v>3.48</v>
      </c>
      <c r="AA43" s="33">
        <f>REPORTE!M44</f>
        <v>176</v>
      </c>
    </row>
    <row r="44" spans="2:30" s="33" customFormat="1" outlineLevel="1" x14ac:dyDescent="0.25">
      <c r="B44" s="17">
        <v>2</v>
      </c>
      <c r="C44" s="34" t="str">
        <f>REPORTE!A45</f>
        <v>2P 44 BOX GINECOLOGICO</v>
      </c>
      <c r="D44" s="88" t="s">
        <v>335</v>
      </c>
      <c r="E44" s="17" t="s">
        <v>12</v>
      </c>
      <c r="F44" s="35">
        <f>REPORTE!B45</f>
        <v>2.9</v>
      </c>
      <c r="G44" s="35">
        <f>REPORTE!C45</f>
        <v>2.9</v>
      </c>
      <c r="H44" s="35">
        <f>REPORTE!J45</f>
        <v>2.5</v>
      </c>
      <c r="I44" s="35">
        <f t="shared" si="47"/>
        <v>1083.6000000000001</v>
      </c>
      <c r="J44" s="35" t="str">
        <f t="shared" si="48"/>
        <v>500</v>
      </c>
      <c r="K44" s="17">
        <f>IF(J44="200",HLOOKUP($K$4,Fancoils!$B$12:$I$21,2,FALSE),IF(J44="300",HLOOKUP($K$4,Fancoils!$B$12:$I$21,3,FALSE),IF(J44="400",HLOOKUP($K$4,Fancoils!$B$12:$I$21,4,FALSE),IF(J44="500",HLOOKUP($K$4,Fancoils!$B$12:$I$21,5,FALSE),IF(J44="600",HLOOKUP($K$4,Fancoils!$B$12:$I$21,6,FALSE),IF(J44="800",HLOOKUP($K$4,Fancoils!$B$12:$I$21,7,FALSE),IF(J44="1000",HLOOKUP($K$4,Fancoils!$B$12:$I$21,8,FALSE),IF(J44="1200",HLOOKUP($K$4,Fancoils!$B$12:$I$21,9,FALSE),IF(J44="1400",HLOOKUP($K$4,Fancoils!$B$12:$I$21,10,FALSE))))))))))</f>
        <v>4.3</v>
      </c>
      <c r="L44" s="17">
        <f>IF(J44="200",HLOOKUP($L$4,Fancoils!$B$12:$I$21,2,FALSE),IF(J44="300",HLOOKUP($L$4,Fancoils!$B$12:$I$21,3,FALSE),IF(J44="400",HLOOKUP($L$4,Fancoils!$B$12:$I$21,4,FALSE),IF(J44="500",HLOOKUP($L$4,Fancoils!$B$12:$I$21,5,FALSE),IF(J44="600",HLOOKUP($L$4,Fancoils!$B$12:$I$21,6,FALSE),IF(J44="800",HLOOKUP($L$4,Fancoils!$B$12:$I$21,7,FALSE),IF(J44="1000",HLOOKUP($L$4,Fancoils!$B$12:$I$21,8,FALSE),IF(J44="1200",HLOOKUP($L$4,Fancoils!$B$12:$I$21,9,FALSE),IF(J44="1400",HLOOKUP($L$4,Fancoils!$B$12:$I$21,10,FALSE))))))))))</f>
        <v>2.96</v>
      </c>
      <c r="M44" s="17">
        <f>IF(J44="200",HLOOKUP($M$4,Fancoils!$B$12:$I$21,2,FALSE),IF(J44="300",HLOOKUP($M$4,Fancoils!$B$12:$I$21,3,FALSE),IF(J44="400",HLOOKUP($M$4,Fancoils!$B$12:$I$21,4,FALSE),IF(J44="500",HLOOKUP($M$4,Fancoils!$B$12:$I$21,5,FALSE),IF(J44="600",HLOOKUP($M$4,Fancoils!$B$12:$I$21,6,FALSE),IF(J44="800",HLOOKUP($M$4,Fancoils!$B$12:$I$21,7,FALSE),IF(J44="1000",HLOOKUP($M$4,Fancoils!$B$12:$I$21,8,FALSE),IF(J44="1200",HLOOKUP($M$4,Fancoils!$B$12:$I$21,9,FALSE),IF(J44="1400",HLOOKUP($M$4,Fancoils!$B$12:$I$21,10,FALSE))))))))))</f>
        <v>3.42</v>
      </c>
      <c r="N44" s="17">
        <f>IF(J44="200",HLOOKUP($N$4,Fancoils!$B$12:$I$21,2,FALSE),IF(J44="300",HLOOKUP($N$4,Fancoils!$B$12:$I$21,3,FALSE),IF(J44="400",HLOOKUP($N$4,Fancoils!$B$12:$I$21,4,FALSE),IF(J44="500",HLOOKUP($N$4,Fancoils!$B$12:$I$21,5,FALSE),IF(J44="600",HLOOKUP($N$4,Fancoils!$B$12:$I$21,6,FALSE),IF(J44="800",HLOOKUP($N$4,Fancoils!$B$12:$I$21,7,FALSE),IF(J44="1000",HLOOKUP($N$4,Fancoils!$B$12:$I$21,8,FALSE),IF(J44="1200",HLOOKUP($N$4,Fancoils!$B$12:$I$21,9,FALSE),IF(J44="1400",HLOOKUP($N$4,Fancoils!$B$12:$I$21,10,FALSE))))))))))</f>
        <v>850</v>
      </c>
      <c r="O44" s="36">
        <f>REPORTE!P45</f>
        <v>86</v>
      </c>
      <c r="P44" s="36">
        <f t="shared" si="49"/>
        <v>309.60000000000002</v>
      </c>
      <c r="Q44" s="17">
        <f>IF(J44="200",HLOOKUP($Q$4,Fancoils!$B$12:$I$21,2,FALSE),IF(J44="300",HLOOKUP($Q$4,Fancoils!$B$12:$I$21,3,FALSE),IF(J44="400",HLOOKUP($Q$4,Fancoils!$B$12:$I$21,4,FALSE),IF(J44="500",HLOOKUP($Q$4,Fancoils!$B$12:$I$21,5,FALSE),IF(J44="600",HLOOKUP($Q$4,Fancoils!$B$12:$I$21,6,FALSE),IF(J44="800",HLOOKUP($Q$4,Fancoils!$B$12:$I$21,7,FALSE),IF(J44="1000",HLOOKUP($Q$4,Fancoils!$B$12:$I$21,8,FALSE),IF(J44="1200",HLOOKUP($Q$4,Fancoils!$B$12:$I$21,9,FALSE),IF(J44="1400",HLOOKUP($Q$4,Fancoils!$B$12:$I$21,10,FALSE))))))))))</f>
        <v>95</v>
      </c>
      <c r="R44" s="17" t="s">
        <v>51</v>
      </c>
      <c r="S44" s="17">
        <v>2</v>
      </c>
      <c r="T44" s="37">
        <f t="shared" si="50"/>
        <v>425</v>
      </c>
      <c r="U44" s="20">
        <f t="shared" si="51"/>
        <v>540.4</v>
      </c>
      <c r="V44" s="87">
        <f t="shared" si="5"/>
        <v>7.083333333333333</v>
      </c>
      <c r="W44" s="35">
        <f>IF(J44="200",HLOOKUP($W$4,Fancoils!$B$12:$S$21,2,FALSE),IF(J44="300",HLOOKUP($W$4,Fancoils!$B$12:$S$21,3,FALSE),IF(J44="400",HLOOKUP($W$4,Fancoils!$B$12:$S$21,4,FALSE),IF(J44="500",HLOOKUP($W$4,Fancoils!$B$12:$S$21,5,FALSE),IF(J44="600",HLOOKUP($W$4,Fancoils!$B$12:$S$21,6,FALSE),IF(J44="800",HLOOKUP($W$4,Fancoils!$B$12:$S$21,7,FALSE),IF(J44="1000",HLOOKUP($W$4,Fancoils!$B$12:$S$21,8,FALSE),IF(J44="1200",HLOOKUP($W$4,Fancoils!$B$12:$S$21,9,FALSE),IF(J44="1400",HLOOKUP($W$4,Fancoils!$B$12:$S$21,10,FALSE))))))))))</f>
        <v>12.333333333333334</v>
      </c>
      <c r="X44" s="35">
        <f>IF(J44="200",HLOOKUP($X$4,Fancoils!$B$12:$S$21,2,FALSE),IF(J44="300",HLOOKUP($X$4,Fancoils!$B$12:$S$21,3,FALSE),IF(J44="400",HLOOKUP($X$4,Fancoils!$B$12:$S$21,4,FALSE),IF(J44="500",HLOOKUP($X$4,Fancoils!$B$12:$S$21,5,FALSE),IF(J44="600",HLOOKUP($X$4,Fancoils!$B$12:$S$21,6,FALSE),IF(J44="800",HLOOKUP($X$4,Fancoils!$B$12:$S$21,7,FALSE),IF(J44="1000",HLOOKUP($X$4,Fancoils!$B$12:$S$21,8,FALSE),IF(J44="1200",HLOOKUP($X$4,Fancoils!$B$12:$S$21,9,FALSE),IF(J44="1400",HLOOKUP($X$4,Fancoils!$B$12:$S$21,10,FALSE))))))))))</f>
        <v>8.3333333333333339</v>
      </c>
      <c r="Y44" s="33" t="s">
        <v>357</v>
      </c>
      <c r="Z44" s="84">
        <f t="shared" si="6"/>
        <v>5.16</v>
      </c>
      <c r="AA44" s="33">
        <f>REPORTE!M45</f>
        <v>301</v>
      </c>
    </row>
    <row r="45" spans="2:30" s="33" customFormat="1" outlineLevel="1" x14ac:dyDescent="0.25">
      <c r="B45" s="17">
        <v>2</v>
      </c>
      <c r="C45" s="34" t="str">
        <f>REPORTE!A46</f>
        <v xml:space="preserve">2P 45 BOX DENTAL </v>
      </c>
      <c r="D45" s="94" t="s">
        <v>336</v>
      </c>
      <c r="E45" s="17" t="s">
        <v>12</v>
      </c>
      <c r="F45" s="35">
        <f>REPORTE!B46</f>
        <v>8.6999999999999993</v>
      </c>
      <c r="G45" s="35">
        <f>REPORTE!C46</f>
        <v>8.5</v>
      </c>
      <c r="H45" s="35">
        <f>REPORTE!J46</f>
        <v>4.4000000000000004</v>
      </c>
      <c r="I45" s="35">
        <f t="shared" si="47"/>
        <v>2743.2000000000003</v>
      </c>
      <c r="J45" s="35" t="str">
        <f t="shared" si="48"/>
        <v>1400</v>
      </c>
      <c r="K45" s="17">
        <f>IF(J45="200",HLOOKUP($K$4,Fancoils!$B$12:$I$21,2,FALSE),IF(J45="300",HLOOKUP($K$4,Fancoils!$B$12:$I$21,3,FALSE),IF(J45="400",HLOOKUP($K$4,Fancoils!$B$12:$I$21,4,FALSE),IF(J45="500",HLOOKUP($K$4,Fancoils!$B$12:$I$21,5,FALSE),IF(J45="600",HLOOKUP($K$4,Fancoils!$B$12:$I$21,6,FALSE),IF(J45="800",HLOOKUP($K$4,Fancoils!$B$12:$I$21,7,FALSE),IF(J45="1000",HLOOKUP($K$4,Fancoils!$B$12:$I$21,8,FALSE),IF(J45="1200",HLOOKUP($K$4,Fancoils!$B$12:$I$21,9,FALSE),IF(J45="1400",HLOOKUP($K$4,Fancoils!$B$12:$I$21,10,FALSE))))))))))</f>
        <v>11.5</v>
      </c>
      <c r="L45" s="17">
        <f>IF(J45="200",HLOOKUP($L$4,Fancoils!$B$12:$I$21,2,FALSE),IF(J45="300",HLOOKUP($L$4,Fancoils!$B$12:$I$21,3,FALSE),IF(J45="400",HLOOKUP($L$4,Fancoils!$B$12:$I$21,4,FALSE),IF(J45="500",HLOOKUP($L$4,Fancoils!$B$12:$I$21,5,FALSE),IF(J45="600",HLOOKUP($L$4,Fancoils!$B$12:$I$21,6,FALSE),IF(J45="800",HLOOKUP($L$4,Fancoils!$B$12:$I$21,7,FALSE),IF(J45="1000",HLOOKUP($L$4,Fancoils!$B$12:$I$21,8,FALSE),IF(J45="1200",HLOOKUP($L$4,Fancoils!$B$12:$I$21,9,FALSE),IF(J45="1400",HLOOKUP($L$4,Fancoils!$B$12:$I$21,10,FALSE))))))))))</f>
        <v>7.92</v>
      </c>
      <c r="M45" s="17">
        <f>IF(J45="200",HLOOKUP($M$4,Fancoils!$B$12:$I$21,2,FALSE),IF(J45="300",HLOOKUP($M$4,Fancoils!$B$12:$I$21,3,FALSE),IF(J45="400",HLOOKUP($M$4,Fancoils!$B$12:$I$21,4,FALSE),IF(J45="500",HLOOKUP($M$4,Fancoils!$B$12:$I$21,5,FALSE),IF(J45="600",HLOOKUP($M$4,Fancoils!$B$12:$I$21,6,FALSE),IF(J45="800",HLOOKUP($M$4,Fancoils!$B$12:$I$21,7,FALSE),IF(J45="1000",HLOOKUP($M$4,Fancoils!$B$12:$I$21,8,FALSE),IF(J45="1200",HLOOKUP($M$4,Fancoils!$B$12:$I$21,9,FALSE),IF(J45="1400",HLOOKUP($M$4,Fancoils!$B$12:$I$21,10,FALSE))))))))))</f>
        <v>9.3000000000000007</v>
      </c>
      <c r="N45" s="17">
        <f>IF(J45="200",HLOOKUP($N$4,Fancoils!$B$12:$I$21,2,FALSE),IF(J45="300",HLOOKUP($N$4,Fancoils!$B$12:$I$21,3,FALSE),IF(J45="400",HLOOKUP($N$4,Fancoils!$B$12:$I$21,4,FALSE),IF(J45="500",HLOOKUP($N$4,Fancoils!$B$12:$I$21,5,FALSE),IF(J45="600",HLOOKUP($N$4,Fancoils!$B$12:$I$21,6,FALSE),IF(J45="800",HLOOKUP($N$4,Fancoils!$B$12:$I$21,7,FALSE),IF(J45="1000",HLOOKUP($N$4,Fancoils!$B$12:$I$21,8,FALSE),IF(J45="1200",HLOOKUP($N$4,Fancoils!$B$12:$I$21,9,FALSE),IF(J45="1400",HLOOKUP($N$4,Fancoils!$B$12:$I$21,10,FALSE))))))))))</f>
        <v>2380</v>
      </c>
      <c r="O45" s="36">
        <f>REPORTE!P46</f>
        <v>141</v>
      </c>
      <c r="P45" s="36">
        <f t="shared" si="49"/>
        <v>507.6</v>
      </c>
      <c r="Q45" s="17">
        <f>IF(J45="200",HLOOKUP($Q$4,Fancoils!$B$12:$I$21,2,FALSE),IF(J45="300",HLOOKUP($Q$4,Fancoils!$B$12:$I$21,3,FALSE),IF(J45="400",HLOOKUP($Q$4,Fancoils!$B$12:$I$21,4,FALSE),IF(J45="500",HLOOKUP($Q$4,Fancoils!$B$12:$I$21,5,FALSE),IF(J45="600",HLOOKUP($Q$4,Fancoils!$B$12:$I$21,6,FALSE),IF(J45="800",HLOOKUP($Q$4,Fancoils!$B$12:$I$21,7,FALSE),IF(J45="1000",HLOOKUP($Q$4,Fancoils!$B$12:$I$21,8,FALSE),IF(J45="1200",HLOOKUP($Q$4,Fancoils!$B$12:$I$21,9,FALSE),IF(J45="1400",HLOOKUP($Q$4,Fancoils!$B$12:$I$21,10,FALSE))))))))))</f>
        <v>240</v>
      </c>
      <c r="R45" s="17" t="s">
        <v>52</v>
      </c>
      <c r="S45" s="17">
        <v>4</v>
      </c>
      <c r="T45" s="72">
        <f t="shared" si="50"/>
        <v>595</v>
      </c>
      <c r="U45" s="20">
        <f t="shared" si="51"/>
        <v>1872.4</v>
      </c>
      <c r="V45" s="87">
        <f t="shared" si="5"/>
        <v>9.9166666666666661</v>
      </c>
      <c r="W45" s="35">
        <f>IF(J45="200",HLOOKUP($W$4,Fancoils!$B$12:$S$21,2,FALSE),IF(J45="300",HLOOKUP($W$4,Fancoils!$B$12:$S$21,3,FALSE),IF(J45="400",HLOOKUP($W$4,Fancoils!$B$12:$S$21,4,FALSE),IF(J45="500",HLOOKUP($W$4,Fancoils!$B$12:$S$21,5,FALSE),IF(J45="600",HLOOKUP($W$4,Fancoils!$B$12:$S$21,6,FALSE),IF(J45="800",HLOOKUP($W$4,Fancoils!$B$12:$S$21,7,FALSE),IF(J45="1000",HLOOKUP($W$4,Fancoils!$B$12:$S$21,8,FALSE),IF(J45="1200",HLOOKUP($W$4,Fancoils!$B$12:$S$21,9,FALSE),IF(J45="1400",HLOOKUP($W$4,Fancoils!$B$12:$S$21,10,FALSE))))))))))</f>
        <v>32.966666666666669</v>
      </c>
      <c r="X45" s="35">
        <f>IF(J45="200",HLOOKUP($X$4,Fancoils!$B$12:$S$21,2,FALSE),IF(J45="300",HLOOKUP($X$4,Fancoils!$B$12:$S$21,3,FALSE),IF(J45="400",HLOOKUP($X$4,Fancoils!$B$12:$S$21,4,FALSE),IF(J45="500",HLOOKUP($X$4,Fancoils!$B$12:$S$21,5,FALSE),IF(J45="600",HLOOKUP($X$4,Fancoils!$B$12:$S$21,6,FALSE),IF(J45="800",HLOOKUP($X$4,Fancoils!$B$12:$S$21,7,FALSE),IF(J45="1000",HLOOKUP($X$4,Fancoils!$B$12:$S$21,8,FALSE),IF(J45="1200",HLOOKUP($X$4,Fancoils!$B$12:$S$21,9,FALSE),IF(J45="1400",HLOOKUP($X$4,Fancoils!$B$12:$S$21,10,FALSE))))))))))</f>
        <v>22.166666666666668</v>
      </c>
      <c r="Y45" s="33" t="s">
        <v>121</v>
      </c>
      <c r="Z45" s="84">
        <f t="shared" si="6"/>
        <v>8.4600000000000009</v>
      </c>
      <c r="AA45" s="33">
        <f>REPORTE!M46</f>
        <v>762</v>
      </c>
      <c r="AB45" s="33">
        <f>SUM(Z45:Z49)+SUM(Z53:Z57)</f>
        <v>40.379999999999995</v>
      </c>
      <c r="AC45" s="33" t="s">
        <v>123</v>
      </c>
    </row>
    <row r="46" spans="2:30" s="33" customFormat="1" outlineLevel="1" x14ac:dyDescent="0.25">
      <c r="B46" s="17">
        <v>2</v>
      </c>
      <c r="C46" s="34" t="str">
        <f>REPORTE!A47</f>
        <v>2P 46 BOX DENTAL</v>
      </c>
      <c r="D46" s="95"/>
      <c r="E46" s="17"/>
      <c r="F46" s="35"/>
      <c r="G46" s="35"/>
      <c r="H46" s="35"/>
      <c r="I46" s="35"/>
      <c r="J46" s="35"/>
      <c r="K46" s="17"/>
      <c r="L46" s="17"/>
      <c r="M46" s="17"/>
      <c r="N46" s="17"/>
      <c r="O46" s="36"/>
      <c r="P46" s="36"/>
      <c r="Q46" s="17"/>
      <c r="R46" s="17"/>
      <c r="S46" s="17"/>
      <c r="T46" s="37"/>
      <c r="U46" s="20"/>
      <c r="V46" s="87">
        <f t="shared" si="5"/>
        <v>0</v>
      </c>
      <c r="W46" s="35"/>
      <c r="X46" s="35"/>
      <c r="Z46" s="84"/>
      <c r="AA46" s="33">
        <f>REPORTE!M47</f>
        <v>0</v>
      </c>
    </row>
    <row r="47" spans="2:30" s="33" customFormat="1" outlineLevel="1" x14ac:dyDescent="0.25">
      <c r="B47" s="17">
        <v>2</v>
      </c>
      <c r="C47" s="34" t="str">
        <f>REPORTE!A48</f>
        <v xml:space="preserve">2P 47 RX DENTAL         </v>
      </c>
      <c r="D47" s="94" t="s">
        <v>337</v>
      </c>
      <c r="E47" s="17" t="s">
        <v>12</v>
      </c>
      <c r="F47" s="35">
        <f>REPORTE!B48</f>
        <v>2.9</v>
      </c>
      <c r="G47" s="35">
        <f>REPORTE!C48</f>
        <v>2.8</v>
      </c>
      <c r="H47" s="35">
        <f>REPORTE!J48</f>
        <v>1.4</v>
      </c>
      <c r="I47" s="35">
        <f>AA47*3.6</f>
        <v>928.80000000000007</v>
      </c>
      <c r="J47" s="35" t="str">
        <f t="shared" si="43"/>
        <v>500</v>
      </c>
      <c r="K47" s="17">
        <f>IF(J47="200",HLOOKUP($K$4,Fancoils!$B$12:$I$21,2,FALSE),IF(J47="300",HLOOKUP($K$4,Fancoils!$B$12:$I$21,3,FALSE),IF(J47="400",HLOOKUP($K$4,Fancoils!$B$12:$I$21,4,FALSE),IF(J47="500",HLOOKUP($K$4,Fancoils!$B$12:$I$21,5,FALSE),IF(J47="600",HLOOKUP($K$4,Fancoils!$B$12:$I$21,6,FALSE),IF(J47="800",HLOOKUP($K$4,Fancoils!$B$12:$I$21,7,FALSE),IF(J47="1000",HLOOKUP($K$4,Fancoils!$B$12:$I$21,8,FALSE),IF(J47="1200",HLOOKUP($K$4,Fancoils!$B$12:$I$21,9,FALSE),IF(J47="1400",HLOOKUP($K$4,Fancoils!$B$12:$I$21,10,FALSE))))))))))</f>
        <v>4.3</v>
      </c>
      <c r="L47" s="17">
        <f>IF(J47="200",HLOOKUP($L$4,Fancoils!$B$12:$I$21,2,FALSE),IF(J47="300",HLOOKUP($L$4,Fancoils!$B$12:$I$21,3,FALSE),IF(J47="400",HLOOKUP($L$4,Fancoils!$B$12:$I$21,4,FALSE),IF(J47="500",HLOOKUP($L$4,Fancoils!$B$12:$I$21,5,FALSE),IF(J47="600",HLOOKUP($L$4,Fancoils!$B$12:$I$21,6,FALSE),IF(J47="800",HLOOKUP($L$4,Fancoils!$B$12:$I$21,7,FALSE),IF(J47="1000",HLOOKUP($L$4,Fancoils!$B$12:$I$21,8,FALSE),IF(J47="1200",HLOOKUP($L$4,Fancoils!$B$12:$I$21,9,FALSE),IF(J47="1400",HLOOKUP($L$4,Fancoils!$B$12:$I$21,10,FALSE))))))))))</f>
        <v>2.96</v>
      </c>
      <c r="M47" s="17">
        <f>IF(J47="200",HLOOKUP($M$4,Fancoils!$B$12:$I$21,2,FALSE),IF(J47="300",HLOOKUP($M$4,Fancoils!$B$12:$I$21,3,FALSE),IF(J47="400",HLOOKUP($M$4,Fancoils!$B$12:$I$21,4,FALSE),IF(J47="500",HLOOKUP($M$4,Fancoils!$B$12:$I$21,5,FALSE),IF(J47="600",HLOOKUP($M$4,Fancoils!$B$12:$I$21,6,FALSE),IF(J47="800",HLOOKUP($M$4,Fancoils!$B$12:$I$21,7,FALSE),IF(J47="1000",HLOOKUP($M$4,Fancoils!$B$12:$I$21,8,FALSE),IF(J47="1200",HLOOKUP($M$4,Fancoils!$B$12:$I$21,9,FALSE),IF(J47="1400",HLOOKUP($M$4,Fancoils!$B$12:$I$21,10,FALSE))))))))))</f>
        <v>3.42</v>
      </c>
      <c r="N47" s="17">
        <f>IF(J47="200",HLOOKUP($N$4,Fancoils!$B$12:$I$21,2,FALSE),IF(J47="300",HLOOKUP($N$4,Fancoils!$B$12:$I$21,3,FALSE),IF(J47="400",HLOOKUP($N$4,Fancoils!$B$12:$I$21,4,FALSE),IF(J47="500",HLOOKUP($N$4,Fancoils!$B$12:$I$21,5,FALSE),IF(J47="600",HLOOKUP($N$4,Fancoils!$B$12:$I$21,6,FALSE),IF(J47="800",HLOOKUP($N$4,Fancoils!$B$12:$I$21,7,FALSE),IF(J47="1000",HLOOKUP($N$4,Fancoils!$B$12:$I$21,8,FALSE),IF(J47="1200",HLOOKUP($N$4,Fancoils!$B$12:$I$21,9,FALSE),IF(J47="1400",HLOOKUP($N$4,Fancoils!$B$12:$I$21,10,FALSE))))))))))</f>
        <v>850</v>
      </c>
      <c r="O47" s="36">
        <f>REPORTE!P48</f>
        <v>45</v>
      </c>
      <c r="P47" s="36">
        <f t="shared" si="44"/>
        <v>162</v>
      </c>
      <c r="Q47" s="17">
        <f>IF(J47="200",HLOOKUP($Q$4,Fancoils!$B$12:$I$21,2,FALSE),IF(J47="300",HLOOKUP($Q$4,Fancoils!$B$12:$I$21,3,FALSE),IF(J47="400",HLOOKUP($Q$4,Fancoils!$B$12:$I$21,4,FALSE),IF(J47="500",HLOOKUP($Q$4,Fancoils!$B$12:$I$21,5,FALSE),IF(J47="600",HLOOKUP($Q$4,Fancoils!$B$12:$I$21,6,FALSE),IF(J47="800",HLOOKUP($Q$4,Fancoils!$B$12:$I$21,7,FALSE),IF(J47="1000",HLOOKUP($Q$4,Fancoils!$B$12:$I$21,8,FALSE),IF(J47="1200",HLOOKUP($Q$4,Fancoils!$B$12:$I$21,9,FALSE),IF(J47="1400",HLOOKUP($Q$4,Fancoils!$B$12:$I$21,10,FALSE))))))))))</f>
        <v>95</v>
      </c>
      <c r="R47" s="17" t="s">
        <v>18</v>
      </c>
      <c r="S47" s="17">
        <v>4</v>
      </c>
      <c r="T47" s="72">
        <f t="shared" si="45"/>
        <v>212.5</v>
      </c>
      <c r="U47" s="20">
        <f t="shared" si="46"/>
        <v>688</v>
      </c>
      <c r="V47" s="87">
        <f t="shared" si="5"/>
        <v>3.5416666666666665</v>
      </c>
      <c r="W47" s="35">
        <f>IF(J47="200",HLOOKUP($W$4,Fancoils!$B$12:$S$21,2,FALSE),IF(J47="300",HLOOKUP($W$4,Fancoils!$B$12:$S$21,3,FALSE),IF(J47="400",HLOOKUP($W$4,Fancoils!$B$12:$S$21,4,FALSE),IF(J47="500",HLOOKUP($W$4,Fancoils!$B$12:$S$21,5,FALSE),IF(J47="600",HLOOKUP($W$4,Fancoils!$B$12:$S$21,6,FALSE),IF(J47="800",HLOOKUP($W$4,Fancoils!$B$12:$S$21,7,FALSE),IF(J47="1000",HLOOKUP($W$4,Fancoils!$B$12:$S$21,8,FALSE),IF(J47="1200",HLOOKUP($W$4,Fancoils!$B$12:$S$21,9,FALSE),IF(J47="1400",HLOOKUP($W$4,Fancoils!$B$12:$S$21,10,FALSE))))))))))</f>
        <v>12.333333333333334</v>
      </c>
      <c r="X47" s="35">
        <f>IF(J47="200",HLOOKUP($X$4,Fancoils!$B$12:$S$21,2,FALSE),IF(J47="300",HLOOKUP($X$4,Fancoils!$B$12:$S$21,3,FALSE),IF(J47="400",HLOOKUP($X$4,Fancoils!$B$12:$S$21,4,FALSE),IF(J47="500",HLOOKUP($X$4,Fancoils!$B$12:$S$21,5,FALSE),IF(J47="600",HLOOKUP($X$4,Fancoils!$B$12:$S$21,6,FALSE),IF(J47="800",HLOOKUP($X$4,Fancoils!$B$12:$S$21,7,FALSE),IF(J47="1000",HLOOKUP($X$4,Fancoils!$B$12:$S$21,8,FALSE),IF(J47="1200",HLOOKUP($X$4,Fancoils!$B$12:$S$21,9,FALSE),IF(J47="1400",HLOOKUP($X$4,Fancoils!$B$12:$S$21,10,FALSE))))))))))</f>
        <v>8.3333333333333339</v>
      </c>
      <c r="Y47" s="33" t="s">
        <v>357</v>
      </c>
      <c r="Z47" s="84">
        <f t="shared" si="6"/>
        <v>2.7</v>
      </c>
      <c r="AA47" s="33">
        <f>REPORTE!M48</f>
        <v>258</v>
      </c>
    </row>
    <row r="48" spans="2:30" s="33" customFormat="1" outlineLevel="1" x14ac:dyDescent="0.25">
      <c r="B48" s="17">
        <v>2</v>
      </c>
      <c r="C48" s="34" t="str">
        <f>REPORTE!A49</f>
        <v>2P 48 SALA COMANDOS</v>
      </c>
      <c r="D48" s="95"/>
      <c r="E48" s="17"/>
      <c r="F48" s="35"/>
      <c r="G48" s="35"/>
      <c r="H48" s="35"/>
      <c r="I48" s="35"/>
      <c r="J48" s="35"/>
      <c r="K48" s="17"/>
      <c r="L48" s="17"/>
      <c r="M48" s="17"/>
      <c r="N48" s="17"/>
      <c r="O48" s="36"/>
      <c r="P48" s="36"/>
      <c r="Q48" s="17"/>
      <c r="R48" s="17"/>
      <c r="S48" s="17"/>
      <c r="T48" s="37"/>
      <c r="U48" s="20"/>
      <c r="V48" s="87">
        <f t="shared" si="5"/>
        <v>0</v>
      </c>
      <c r="W48" s="35"/>
      <c r="X48" s="35"/>
      <c r="Z48" s="84"/>
      <c r="AA48" s="33">
        <f>REPORTE!M49</f>
        <v>0</v>
      </c>
    </row>
    <row r="49" spans="2:30" s="33" customFormat="1" outlineLevel="1" x14ac:dyDescent="0.25">
      <c r="B49" s="17">
        <v>2</v>
      </c>
      <c r="C49" s="34" t="str">
        <f>REPORTE!A50</f>
        <v xml:space="preserve">2P 49 BOX CLINICO       </v>
      </c>
      <c r="D49" s="94" t="s">
        <v>338</v>
      </c>
      <c r="E49" s="17" t="s">
        <v>12</v>
      </c>
      <c r="F49" s="35">
        <f>REPORTE!B50</f>
        <v>7.8</v>
      </c>
      <c r="G49" s="35">
        <f>REPORTE!C50</f>
        <v>7.6</v>
      </c>
      <c r="H49" s="35">
        <f>REPORTE!J50</f>
        <v>3.7</v>
      </c>
      <c r="I49" s="35">
        <f>AA49*3.6</f>
        <v>2412</v>
      </c>
      <c r="J49" s="35" t="str">
        <f>+IF(G49&lt;1.38,"200",IF(AND(1.39&lt;G49,G49&lt;1.86),"300",IF(AND(1.87&lt;G49,G49&lt;2.48),"400",IF(AND(2.49&lt;G49,G49&lt;2.96),"500",IF(AND(2.97&lt;G49,G49&lt;3.44),"600",IF(AND(3.45&lt;G49,G49&lt;4.68),"800",IF(AND(4.69&lt;G49,G49&lt;5.37),"1000",IF(AND(5.38&lt;G49,G49&lt;7.02),"1200",IF(AND(7.1&lt;G49,G49&lt;7.92),"1400",)))))))))</f>
        <v>1400</v>
      </c>
      <c r="K49" s="17">
        <f>IF(J49="200",HLOOKUP($K$4,Fancoils!$B$12:$I$21,2,FALSE),IF(J49="300",HLOOKUP($K$4,Fancoils!$B$12:$I$21,3,FALSE),IF(J49="400",HLOOKUP($K$4,Fancoils!$B$12:$I$21,4,FALSE),IF(J49="500",HLOOKUP($K$4,Fancoils!$B$12:$I$21,5,FALSE),IF(J49="600",HLOOKUP($K$4,Fancoils!$B$12:$I$21,6,FALSE),IF(J49="800",HLOOKUP($K$4,Fancoils!$B$12:$I$21,7,FALSE),IF(J49="1000",HLOOKUP($K$4,Fancoils!$B$12:$I$21,8,FALSE),IF(J49="1200",HLOOKUP($K$4,Fancoils!$B$12:$I$21,9,FALSE),IF(J49="1400",HLOOKUP($K$4,Fancoils!$B$12:$I$21,10,FALSE))))))))))</f>
        <v>11.5</v>
      </c>
      <c r="L49" s="17">
        <f>IF(J49="200",HLOOKUP($L$4,Fancoils!$B$12:$I$21,2,FALSE),IF(J49="300",HLOOKUP($L$4,Fancoils!$B$12:$I$21,3,FALSE),IF(J49="400",HLOOKUP($L$4,Fancoils!$B$12:$I$21,4,FALSE),IF(J49="500",HLOOKUP($L$4,Fancoils!$B$12:$I$21,5,FALSE),IF(J49="600",HLOOKUP($L$4,Fancoils!$B$12:$I$21,6,FALSE),IF(J49="800",HLOOKUP($L$4,Fancoils!$B$12:$I$21,7,FALSE),IF(J49="1000",HLOOKUP($L$4,Fancoils!$B$12:$I$21,8,FALSE),IF(J49="1200",HLOOKUP($L$4,Fancoils!$B$12:$I$21,9,FALSE),IF(J49="1400",HLOOKUP($L$4,Fancoils!$B$12:$I$21,10,FALSE))))))))))</f>
        <v>7.92</v>
      </c>
      <c r="M49" s="17">
        <f>IF(J49="200",HLOOKUP($M$4,Fancoils!$B$12:$I$21,2,FALSE),IF(J49="300",HLOOKUP($M$4,Fancoils!$B$12:$I$21,3,FALSE),IF(J49="400",HLOOKUP($M$4,Fancoils!$B$12:$I$21,4,FALSE),IF(J49="500",HLOOKUP($M$4,Fancoils!$B$12:$I$21,5,FALSE),IF(J49="600",HLOOKUP($M$4,Fancoils!$B$12:$I$21,6,FALSE),IF(J49="800",HLOOKUP($M$4,Fancoils!$B$12:$I$21,7,FALSE),IF(J49="1000",HLOOKUP($M$4,Fancoils!$B$12:$I$21,8,FALSE),IF(J49="1200",HLOOKUP($M$4,Fancoils!$B$12:$I$21,9,FALSE),IF(J49="1400",HLOOKUP($M$4,Fancoils!$B$12:$I$21,10,FALSE))))))))))</f>
        <v>9.3000000000000007</v>
      </c>
      <c r="N49" s="17">
        <f>IF(J49="200",HLOOKUP($N$4,Fancoils!$B$12:$I$21,2,FALSE),IF(J49="300",HLOOKUP($N$4,Fancoils!$B$12:$I$21,3,FALSE),IF(J49="400",HLOOKUP($N$4,Fancoils!$B$12:$I$21,4,FALSE),IF(J49="500",HLOOKUP($N$4,Fancoils!$B$12:$I$21,5,FALSE),IF(J49="600",HLOOKUP($N$4,Fancoils!$B$12:$I$21,6,FALSE),IF(J49="800",HLOOKUP($N$4,Fancoils!$B$12:$I$21,7,FALSE),IF(J49="1000",HLOOKUP($N$4,Fancoils!$B$12:$I$21,8,FALSE),IF(J49="1200",HLOOKUP($N$4,Fancoils!$B$12:$I$21,9,FALSE),IF(J49="1400",HLOOKUP($N$4,Fancoils!$B$12:$I$21,10,FALSE))))))))))</f>
        <v>2380</v>
      </c>
      <c r="O49" s="36">
        <f>REPORTE!P50</f>
        <v>116</v>
      </c>
      <c r="P49" s="36">
        <f t="shared" ref="P49" si="52">O49*3.6</f>
        <v>417.6</v>
      </c>
      <c r="Q49" s="17">
        <f>IF(J49="200",HLOOKUP($Q$4,Fancoils!$B$12:$I$21,2,FALSE),IF(J49="300",HLOOKUP($Q$4,Fancoils!$B$12:$I$21,3,FALSE),IF(J49="400",HLOOKUP($Q$4,Fancoils!$B$12:$I$21,4,FALSE),IF(J49="500",HLOOKUP($Q$4,Fancoils!$B$12:$I$21,5,FALSE),IF(J49="600",HLOOKUP($Q$4,Fancoils!$B$12:$I$21,6,FALSE),IF(J49="800",HLOOKUP($Q$4,Fancoils!$B$12:$I$21,7,FALSE),IF(J49="1000",HLOOKUP($Q$4,Fancoils!$B$12:$I$21,8,FALSE),IF(J49="1200",HLOOKUP($Q$4,Fancoils!$B$12:$I$21,9,FALSE),IF(J49="1400",HLOOKUP($Q$4,Fancoils!$B$12:$I$21,10,FALSE))))))))))</f>
        <v>240</v>
      </c>
      <c r="R49" s="17" t="s">
        <v>18</v>
      </c>
      <c r="S49" s="17">
        <v>4</v>
      </c>
      <c r="T49" s="72">
        <f t="shared" ref="T49" si="53">N49/S49</f>
        <v>595</v>
      </c>
      <c r="U49" s="20">
        <f t="shared" ref="U49" si="54">N49-P49</f>
        <v>1962.4</v>
      </c>
      <c r="V49" s="87">
        <f t="shared" si="5"/>
        <v>9.9166666666666661</v>
      </c>
      <c r="W49" s="35">
        <f>IF(J49="200",HLOOKUP($W$4,Fancoils!$B$12:$S$21,2,FALSE),IF(J49="300",HLOOKUP($W$4,Fancoils!$B$12:$S$21,3,FALSE),IF(J49="400",HLOOKUP($W$4,Fancoils!$B$12:$S$21,4,FALSE),IF(J49="500",HLOOKUP($W$4,Fancoils!$B$12:$S$21,5,FALSE),IF(J49="600",HLOOKUP($W$4,Fancoils!$B$12:$S$21,6,FALSE),IF(J49="800",HLOOKUP($W$4,Fancoils!$B$12:$S$21,7,FALSE),IF(J49="1000",HLOOKUP($W$4,Fancoils!$B$12:$S$21,8,FALSE),IF(J49="1200",HLOOKUP($W$4,Fancoils!$B$12:$S$21,9,FALSE),IF(J49="1400",HLOOKUP($W$4,Fancoils!$B$12:$S$21,10,FALSE))))))))))</f>
        <v>32.966666666666669</v>
      </c>
      <c r="X49" s="35">
        <f>IF(J49="200",HLOOKUP($X$4,Fancoils!$B$12:$S$21,2,FALSE),IF(J49="300",HLOOKUP($X$4,Fancoils!$B$12:$S$21,3,FALSE),IF(J49="400",HLOOKUP($X$4,Fancoils!$B$12:$S$21,4,FALSE),IF(J49="500",HLOOKUP($X$4,Fancoils!$B$12:$S$21,5,FALSE),IF(J49="600",HLOOKUP($X$4,Fancoils!$B$12:$S$21,6,FALSE),IF(J49="800",HLOOKUP($X$4,Fancoils!$B$12:$S$21,7,FALSE),IF(J49="1000",HLOOKUP($X$4,Fancoils!$B$12:$S$21,8,FALSE),IF(J49="1200",HLOOKUP($X$4,Fancoils!$B$12:$S$21,9,FALSE),IF(J49="1400",HLOOKUP($X$4,Fancoils!$B$12:$S$21,10,FALSE))))))))))</f>
        <v>22.166666666666668</v>
      </c>
      <c r="Y49" s="33" t="s">
        <v>121</v>
      </c>
      <c r="Z49" s="84">
        <f t="shared" si="6"/>
        <v>6.96</v>
      </c>
      <c r="AA49" s="33">
        <f>REPORTE!M50</f>
        <v>670</v>
      </c>
    </row>
    <row r="50" spans="2:30" s="33" customFormat="1" outlineLevel="1" x14ac:dyDescent="0.25">
      <c r="B50" s="17">
        <v>2</v>
      </c>
      <c r="C50" s="34" t="str">
        <f>REPORTE!A51</f>
        <v xml:space="preserve">2P 50 BOX CLINICO       </v>
      </c>
      <c r="D50" s="95"/>
      <c r="E50" s="17"/>
      <c r="F50" s="35"/>
      <c r="G50" s="35"/>
      <c r="H50" s="35"/>
      <c r="I50" s="35"/>
      <c r="J50" s="35"/>
      <c r="K50" s="17"/>
      <c r="L50" s="17"/>
      <c r="M50" s="17"/>
      <c r="N50" s="17"/>
      <c r="O50" s="36"/>
      <c r="P50" s="36"/>
      <c r="Q50" s="17"/>
      <c r="R50" s="17"/>
      <c r="S50" s="17"/>
      <c r="T50" s="37"/>
      <c r="U50" s="20"/>
      <c r="V50" s="87">
        <f t="shared" si="5"/>
        <v>0</v>
      </c>
      <c r="W50" s="35"/>
      <c r="X50" s="35"/>
      <c r="Z50" s="84"/>
      <c r="AA50" s="33">
        <f>REPORTE!M51</f>
        <v>0</v>
      </c>
    </row>
    <row r="51" spans="2:30" s="33" customFormat="1" outlineLevel="1" x14ac:dyDescent="0.25">
      <c r="B51" s="17">
        <v>2</v>
      </c>
      <c r="C51" s="34" t="str">
        <f>REPORTE!A52</f>
        <v xml:space="preserve">2P 51 SALA DE ESPERA    </v>
      </c>
      <c r="D51" s="17" t="s">
        <v>339</v>
      </c>
      <c r="E51" s="17" t="s">
        <v>12</v>
      </c>
      <c r="F51" s="35">
        <f>REPORTE!B52/2</f>
        <v>9.3000000000000007</v>
      </c>
      <c r="G51" s="35">
        <f>REPORTE!C52/2</f>
        <v>8.9</v>
      </c>
      <c r="H51" s="35">
        <f>REPORTE!J52/2</f>
        <v>12.6</v>
      </c>
      <c r="I51" s="35">
        <f>AA51*3.6/2</f>
        <v>2986.2000000000003</v>
      </c>
      <c r="J51" s="35" t="str">
        <f t="shared" ref="J51:J81" si="55">+IF(G51&lt;1.38,"200",IF(AND(1.39&lt;G51,G51&lt;1.86),"300",IF(AND(1.87&lt;G51,G51&lt;2.48),"400",IF(AND(2.49&lt;G51,G51&lt;2.96),"500",IF(AND(2.97&lt;G51,G51&lt;3.44),"600",IF(AND(3.45&lt;G51,G51&lt;4.68),"800",IF(AND(4.69&lt;G51,G51&lt;5.37),"1000",IF(AND(5.38&lt;G51,G51&lt;7.02),"1200",IF(AND(7.1&lt;G51,G51&gt;7.92),"1400",)))))))))</f>
        <v>1400</v>
      </c>
      <c r="K51" s="17">
        <f>IF(J51="200",HLOOKUP($K$4,Fancoils!$B$12:$I$21,2,FALSE),IF(J51="300",HLOOKUP($K$4,Fancoils!$B$12:$I$21,3,FALSE),IF(J51="400",HLOOKUP($K$4,Fancoils!$B$12:$I$21,4,FALSE),IF(J51="500",HLOOKUP($K$4,Fancoils!$B$12:$I$21,5,FALSE),IF(J51="600",HLOOKUP($K$4,Fancoils!$B$12:$I$21,6,FALSE),IF(J51="800",HLOOKUP($K$4,Fancoils!$B$12:$I$21,7,FALSE),IF(J51="1000",HLOOKUP($K$4,Fancoils!$B$12:$I$21,8,FALSE),IF(J51="1200",HLOOKUP($K$4,Fancoils!$B$12:$I$21,9,FALSE),IF(J51="1400",HLOOKUP($K$4,Fancoils!$B$12:$I$21,10,FALSE))))))))))</f>
        <v>11.5</v>
      </c>
      <c r="L51" s="17">
        <f>IF(J51="200",HLOOKUP($L$4,Fancoils!$B$12:$I$21,2,FALSE),IF(J51="300",HLOOKUP($L$4,Fancoils!$B$12:$I$21,3,FALSE),IF(J51="400",HLOOKUP($L$4,Fancoils!$B$12:$I$21,4,FALSE),IF(J51="500",HLOOKUP($L$4,Fancoils!$B$12:$I$21,5,FALSE),IF(J51="600",HLOOKUP($L$4,Fancoils!$B$12:$I$21,6,FALSE),IF(J51="800",HLOOKUP($L$4,Fancoils!$B$12:$I$21,7,FALSE),IF(J51="1000",HLOOKUP($L$4,Fancoils!$B$12:$I$21,8,FALSE),IF(J51="1200",HLOOKUP($L$4,Fancoils!$B$12:$I$21,9,FALSE),IF(J51="1400",HLOOKUP($L$4,Fancoils!$B$12:$I$21,10,FALSE))))))))))</f>
        <v>7.92</v>
      </c>
      <c r="M51" s="17">
        <f>IF(J51="200",HLOOKUP($M$4,Fancoils!$B$12:$I$21,2,FALSE),IF(J51="300",HLOOKUP($M$4,Fancoils!$B$12:$I$21,3,FALSE),IF(J51="400",HLOOKUP($M$4,Fancoils!$B$12:$I$21,4,FALSE),IF(J51="500",HLOOKUP($M$4,Fancoils!$B$12:$I$21,5,FALSE),IF(J51="600",HLOOKUP($M$4,Fancoils!$B$12:$I$21,6,FALSE),IF(J51="800",HLOOKUP($M$4,Fancoils!$B$12:$I$21,7,FALSE),IF(J51="1000",HLOOKUP($M$4,Fancoils!$B$12:$I$21,8,FALSE),IF(J51="1200",HLOOKUP($M$4,Fancoils!$B$12:$I$21,9,FALSE),IF(J51="1400",HLOOKUP($M$4,Fancoils!$B$12:$I$21,10,FALSE))))))))))</f>
        <v>9.3000000000000007</v>
      </c>
      <c r="N51" s="17">
        <f>IF(J51="200",HLOOKUP($N$4,Fancoils!$B$12:$I$21,2,FALSE),IF(J51="300",HLOOKUP($N$4,Fancoils!$B$12:$I$21,3,FALSE),IF(J51="400",HLOOKUP($N$4,Fancoils!$B$12:$I$21,4,FALSE),IF(J51="500",HLOOKUP($N$4,Fancoils!$B$12:$I$21,5,FALSE),IF(J51="600",HLOOKUP($N$4,Fancoils!$B$12:$I$21,6,FALSE),IF(J51="800",HLOOKUP($N$4,Fancoils!$B$12:$I$21,7,FALSE),IF(J51="1000",HLOOKUP($N$4,Fancoils!$B$12:$I$21,8,FALSE),IF(J51="1200",HLOOKUP($N$4,Fancoils!$B$12:$I$21,9,FALSE),IF(J51="1400",HLOOKUP($N$4,Fancoils!$B$12:$I$21,10,FALSE))))))))))</f>
        <v>2380</v>
      </c>
      <c r="O51" s="36">
        <f>REPORTE!P52/2</f>
        <v>511.5</v>
      </c>
      <c r="P51" s="36">
        <f t="shared" si="8"/>
        <v>1841.4</v>
      </c>
      <c r="Q51" s="17">
        <f>IF(J51="200",HLOOKUP($Q$4,Fancoils!$B$12:$I$21,2,FALSE),IF(J51="300",HLOOKUP($Q$4,Fancoils!$B$12:$I$21,3,FALSE),IF(J51="400",HLOOKUP($Q$4,Fancoils!$B$12:$I$21,4,FALSE),IF(J51="500",HLOOKUP($Q$4,Fancoils!$B$12:$I$21,5,FALSE),IF(J51="600",HLOOKUP($Q$4,Fancoils!$B$12:$I$21,6,FALSE),IF(J51="800",HLOOKUP($Q$4,Fancoils!$B$12:$I$21,7,FALSE),IF(J51="1000",HLOOKUP($Q$4,Fancoils!$B$12:$I$21,8,FALSE),IF(J51="1200",HLOOKUP($Q$4,Fancoils!$B$12:$I$21,9,FALSE),IF(J51="1400",HLOOKUP($Q$4,Fancoils!$B$12:$I$21,10,FALSE))))))))))</f>
        <v>240</v>
      </c>
      <c r="R51" s="17" t="s">
        <v>18</v>
      </c>
      <c r="S51" s="17">
        <v>4</v>
      </c>
      <c r="T51" s="37">
        <f t="shared" si="9"/>
        <v>595</v>
      </c>
      <c r="U51" s="20">
        <f t="shared" si="10"/>
        <v>538.59999999999991</v>
      </c>
      <c r="V51" s="87">
        <f t="shared" si="5"/>
        <v>9.9166666666666661</v>
      </c>
      <c r="W51" s="35">
        <f>IF(J51="200",HLOOKUP($W$4,Fancoils!$B$12:$S$21,2,FALSE),IF(J51="300",HLOOKUP($W$4,Fancoils!$B$12:$S$21,3,FALSE),IF(J51="400",HLOOKUP($W$4,Fancoils!$B$12:$S$21,4,FALSE),IF(J51="500",HLOOKUP($W$4,Fancoils!$B$12:$S$21,5,FALSE),IF(J51="600",HLOOKUP($W$4,Fancoils!$B$12:$S$21,6,FALSE),IF(J51="800",HLOOKUP($W$4,Fancoils!$B$12:$S$21,7,FALSE),IF(J51="1000",HLOOKUP($W$4,Fancoils!$B$12:$S$21,8,FALSE),IF(J51="1200",HLOOKUP($W$4,Fancoils!$B$12:$S$21,9,FALSE),IF(J51="1400",HLOOKUP($W$4,Fancoils!$B$12:$S$21,10,FALSE))))))))))</f>
        <v>32.966666666666669</v>
      </c>
      <c r="X51" s="35">
        <f>IF(J51="200",HLOOKUP($X$4,Fancoils!$B$12:$S$21,2,FALSE),IF(J51="300",HLOOKUP($X$4,Fancoils!$B$12:$S$21,3,FALSE),IF(J51="400",HLOOKUP($X$4,Fancoils!$B$12:$S$21,4,FALSE),IF(J51="500",HLOOKUP($X$4,Fancoils!$B$12:$S$21,5,FALSE),IF(J51="600",HLOOKUP($X$4,Fancoils!$B$12:$S$21,6,FALSE),IF(J51="800",HLOOKUP($X$4,Fancoils!$B$12:$S$21,7,FALSE),IF(J51="1000",HLOOKUP($X$4,Fancoils!$B$12:$S$21,8,FALSE),IF(J51="1200",HLOOKUP($X$4,Fancoils!$B$12:$S$21,9,FALSE),IF(J51="1400",HLOOKUP($X$4,Fancoils!$B$12:$S$21,10,FALSE))))))))))</f>
        <v>22.166666666666668</v>
      </c>
      <c r="Y51" s="33" t="s">
        <v>119</v>
      </c>
      <c r="Z51" s="84">
        <f t="shared" si="6"/>
        <v>30.69</v>
      </c>
      <c r="AA51" s="33">
        <f>REPORTE!M52</f>
        <v>1659</v>
      </c>
    </row>
    <row r="52" spans="2:30" s="33" customFormat="1" outlineLevel="1" collapsed="1" x14ac:dyDescent="0.25">
      <c r="B52" s="17">
        <v>2</v>
      </c>
      <c r="C52" s="34" t="str">
        <f>REPORTE!A53</f>
        <v xml:space="preserve">2P 51 SALA DE ESPERA    </v>
      </c>
      <c r="D52" s="17" t="s">
        <v>340</v>
      </c>
      <c r="E52" s="17" t="s">
        <v>12</v>
      </c>
      <c r="F52" s="35">
        <f>REPORTE!B53/2</f>
        <v>9.3000000000000007</v>
      </c>
      <c r="G52" s="35">
        <f>REPORTE!C53/2</f>
        <v>8.9</v>
      </c>
      <c r="H52" s="35">
        <f>REPORTE!J53/2</f>
        <v>12.6</v>
      </c>
      <c r="I52" s="35">
        <f>AA52*3.6/2</f>
        <v>2986.2000000000003</v>
      </c>
      <c r="J52" s="35" t="str">
        <f t="shared" si="55"/>
        <v>1400</v>
      </c>
      <c r="K52" s="17">
        <f>IF(J52="200",HLOOKUP($K$4,Fancoils!$B$12:$I$21,2,FALSE),IF(J52="300",HLOOKUP($K$4,Fancoils!$B$12:$I$21,3,FALSE),IF(J52="400",HLOOKUP($K$4,Fancoils!$B$12:$I$21,4,FALSE),IF(J52="500",HLOOKUP($K$4,Fancoils!$B$12:$I$21,5,FALSE),IF(J52="600",HLOOKUP($K$4,Fancoils!$B$12:$I$21,6,FALSE),IF(J52="800",HLOOKUP($K$4,Fancoils!$B$12:$I$21,7,FALSE),IF(J52="1000",HLOOKUP($K$4,Fancoils!$B$12:$I$21,8,FALSE),IF(J52="1200",HLOOKUP($K$4,Fancoils!$B$12:$I$21,9,FALSE),IF(J52="1400",HLOOKUP($K$4,Fancoils!$B$12:$I$21,10,FALSE))))))))))</f>
        <v>11.5</v>
      </c>
      <c r="L52" s="17">
        <f>IF(J52="200",HLOOKUP($L$4,Fancoils!$B$12:$I$21,2,FALSE),IF(J52="300",HLOOKUP($L$4,Fancoils!$B$12:$I$21,3,FALSE),IF(J52="400",HLOOKUP($L$4,Fancoils!$B$12:$I$21,4,FALSE),IF(J52="500",HLOOKUP($L$4,Fancoils!$B$12:$I$21,5,FALSE),IF(J52="600",HLOOKUP($L$4,Fancoils!$B$12:$I$21,6,FALSE),IF(J52="800",HLOOKUP($L$4,Fancoils!$B$12:$I$21,7,FALSE),IF(J52="1000",HLOOKUP($L$4,Fancoils!$B$12:$I$21,8,FALSE),IF(J52="1200",HLOOKUP($L$4,Fancoils!$B$12:$I$21,9,FALSE),IF(J52="1400",HLOOKUP($L$4,Fancoils!$B$12:$I$21,10,FALSE))))))))))</f>
        <v>7.92</v>
      </c>
      <c r="M52" s="17">
        <f>IF(J52="200",HLOOKUP($M$4,Fancoils!$B$12:$I$21,2,FALSE),IF(J52="300",HLOOKUP($M$4,Fancoils!$B$12:$I$21,3,FALSE),IF(J52="400",HLOOKUP($M$4,Fancoils!$B$12:$I$21,4,FALSE),IF(J52="500",HLOOKUP($M$4,Fancoils!$B$12:$I$21,5,FALSE),IF(J52="600",HLOOKUP($M$4,Fancoils!$B$12:$I$21,6,FALSE),IF(J52="800",HLOOKUP($M$4,Fancoils!$B$12:$I$21,7,FALSE),IF(J52="1000",HLOOKUP($M$4,Fancoils!$B$12:$I$21,8,FALSE),IF(J52="1200",HLOOKUP($M$4,Fancoils!$B$12:$I$21,9,FALSE),IF(J52="1400",HLOOKUP($M$4,Fancoils!$B$12:$I$21,10,FALSE))))))))))</f>
        <v>9.3000000000000007</v>
      </c>
      <c r="N52" s="17">
        <f>IF(J52="200",HLOOKUP($N$4,Fancoils!$B$12:$I$21,2,FALSE),IF(J52="300",HLOOKUP($N$4,Fancoils!$B$12:$I$21,3,FALSE),IF(J52="400",HLOOKUP($N$4,Fancoils!$B$12:$I$21,4,FALSE),IF(J52="500",HLOOKUP($N$4,Fancoils!$B$12:$I$21,5,FALSE),IF(J52="600",HLOOKUP($N$4,Fancoils!$B$12:$I$21,6,FALSE),IF(J52="800",HLOOKUP($N$4,Fancoils!$B$12:$I$21,7,FALSE),IF(J52="1000",HLOOKUP($N$4,Fancoils!$B$12:$I$21,8,FALSE),IF(J52="1200",HLOOKUP($N$4,Fancoils!$B$12:$I$21,9,FALSE),IF(J52="1400",HLOOKUP($N$4,Fancoils!$B$12:$I$21,10,FALSE))))))))))</f>
        <v>2380</v>
      </c>
      <c r="O52" s="36">
        <f>REPORTE!P53/2</f>
        <v>511.5</v>
      </c>
      <c r="P52" s="36">
        <f t="shared" si="8"/>
        <v>1841.4</v>
      </c>
      <c r="Q52" s="17">
        <f>IF(J52="200",HLOOKUP($Q$4,Fancoils!$B$12:$I$21,2,FALSE),IF(J52="300",HLOOKUP($Q$4,Fancoils!$B$12:$I$21,3,FALSE),IF(J52="400",HLOOKUP($Q$4,Fancoils!$B$12:$I$21,4,FALSE),IF(J52="500",HLOOKUP($Q$4,Fancoils!$B$12:$I$21,5,FALSE),IF(J52="600",HLOOKUP($Q$4,Fancoils!$B$12:$I$21,6,FALSE),IF(J52="800",HLOOKUP($Q$4,Fancoils!$B$12:$I$21,7,FALSE),IF(J52="1000",HLOOKUP($Q$4,Fancoils!$B$12:$I$21,8,FALSE),IF(J52="1200",HLOOKUP($Q$4,Fancoils!$B$12:$I$21,9,FALSE),IF(J52="1400",HLOOKUP($Q$4,Fancoils!$B$12:$I$21,10,FALSE))))))))))</f>
        <v>240</v>
      </c>
      <c r="R52" s="17" t="s">
        <v>18</v>
      </c>
      <c r="S52" s="17">
        <v>4</v>
      </c>
      <c r="T52" s="37">
        <f t="shared" si="9"/>
        <v>595</v>
      </c>
      <c r="U52" s="20">
        <f t="shared" si="10"/>
        <v>538.59999999999991</v>
      </c>
      <c r="V52" s="87">
        <f t="shared" si="5"/>
        <v>9.9166666666666661</v>
      </c>
      <c r="W52" s="35">
        <f>IF(J52="200",HLOOKUP($W$4,Fancoils!$B$12:$S$21,2,FALSE),IF(J52="300",HLOOKUP($W$4,Fancoils!$B$12:$S$21,3,FALSE),IF(J52="400",HLOOKUP($W$4,Fancoils!$B$12:$S$21,4,FALSE),IF(J52="500",HLOOKUP($W$4,Fancoils!$B$12:$S$21,5,FALSE),IF(J52="600",HLOOKUP($W$4,Fancoils!$B$12:$S$21,6,FALSE),IF(J52="800",HLOOKUP($W$4,Fancoils!$B$12:$S$21,7,FALSE),IF(J52="1000",HLOOKUP($W$4,Fancoils!$B$12:$S$21,8,FALSE),IF(J52="1200",HLOOKUP($W$4,Fancoils!$B$12:$S$21,9,FALSE),IF(J52="1400",HLOOKUP($W$4,Fancoils!$B$12:$S$21,10,FALSE))))))))))</f>
        <v>32.966666666666669</v>
      </c>
      <c r="X52" s="35">
        <f>IF(J52="200",HLOOKUP($X$4,Fancoils!$B$12:$S$21,2,FALSE),IF(J52="300",HLOOKUP($X$4,Fancoils!$B$12:$S$21,3,FALSE),IF(J52="400",HLOOKUP($X$4,Fancoils!$B$12:$S$21,4,FALSE),IF(J52="500",HLOOKUP($X$4,Fancoils!$B$12:$S$21,5,FALSE),IF(J52="600",HLOOKUP($X$4,Fancoils!$B$12:$S$21,6,FALSE),IF(J52="800",HLOOKUP($X$4,Fancoils!$B$12:$S$21,7,FALSE),IF(J52="1000",HLOOKUP($X$4,Fancoils!$B$12:$S$21,8,FALSE),IF(J52="1200",HLOOKUP($X$4,Fancoils!$B$12:$S$21,9,FALSE),IF(J52="1400",HLOOKUP($X$4,Fancoils!$B$12:$S$21,10,FALSE))))))))))</f>
        <v>22.166666666666668</v>
      </c>
      <c r="Y52" s="33" t="s">
        <v>119</v>
      </c>
      <c r="Z52" s="84">
        <f t="shared" si="6"/>
        <v>30.69</v>
      </c>
      <c r="AA52" s="33">
        <f>REPORTE!M53</f>
        <v>1659</v>
      </c>
      <c r="AB52" s="33" t="s">
        <v>375</v>
      </c>
      <c r="AC52" s="33">
        <f>AB45+AB59+AC23</f>
        <v>108.03</v>
      </c>
      <c r="AD52" s="33" t="s">
        <v>376</v>
      </c>
    </row>
    <row r="53" spans="2:30" s="33" customFormat="1" outlineLevel="1" x14ac:dyDescent="0.25">
      <c r="B53" s="17">
        <v>2</v>
      </c>
      <c r="C53" s="34" t="str">
        <f>REPORTE!A54</f>
        <v xml:space="preserve">2P 52 SOME SATELITAL    </v>
      </c>
      <c r="D53" s="94" t="s">
        <v>341</v>
      </c>
      <c r="E53" s="17" t="s">
        <v>12</v>
      </c>
      <c r="F53" s="35">
        <f>REPORTE!B54</f>
        <v>1.6</v>
      </c>
      <c r="G53" s="35">
        <f>REPORTE!C54</f>
        <v>1.3</v>
      </c>
      <c r="H53" s="35">
        <f>REPORTE!J54</f>
        <v>0.8</v>
      </c>
      <c r="I53" s="35">
        <f>AA53*3.6</f>
        <v>374.40000000000003</v>
      </c>
      <c r="J53" s="35" t="str">
        <f t="shared" si="55"/>
        <v>200</v>
      </c>
      <c r="K53" s="17">
        <f>IF(J53="200",HLOOKUP($K$4,Fancoils!$B$12:$I$21,2,FALSE),IF(J53="300",HLOOKUP($K$4,Fancoils!$B$12:$I$21,3,FALSE),IF(J53="400",HLOOKUP($K$4,Fancoils!$B$12:$I$21,4,FALSE),IF(J53="500",HLOOKUP($K$4,Fancoils!$B$12:$I$21,5,FALSE),IF(J53="600",HLOOKUP($K$4,Fancoils!$B$12:$I$21,6,FALSE),IF(J53="800",HLOOKUP($K$4,Fancoils!$B$12:$I$21,7,FALSE),IF(J53="1000",HLOOKUP($K$4,Fancoils!$B$12:$I$21,8,FALSE),IF(J53="1200",HLOOKUP($K$4,Fancoils!$B$12:$I$21,9,FALSE),IF(J53="1400",HLOOKUP($K$4,Fancoils!$B$12:$I$21,10,FALSE))))))))))</f>
        <v>2</v>
      </c>
      <c r="L53" s="17">
        <f>IF(J53="200",HLOOKUP($L$4,Fancoils!$B$12:$I$21,2,FALSE),IF(J53="300",HLOOKUP($L$4,Fancoils!$B$12:$I$21,3,FALSE),IF(J53="400",HLOOKUP($L$4,Fancoils!$B$12:$I$21,4,FALSE),IF(J53="500",HLOOKUP($L$4,Fancoils!$B$12:$I$21,5,FALSE),IF(J53="600",HLOOKUP($L$4,Fancoils!$B$12:$I$21,6,FALSE),IF(J53="800",HLOOKUP($L$4,Fancoils!$B$12:$I$21,7,FALSE),IF(J53="1000",HLOOKUP($L$4,Fancoils!$B$12:$I$21,8,FALSE),IF(J53="1200",HLOOKUP($L$4,Fancoils!$B$12:$I$21,9,FALSE),IF(J53="1400",HLOOKUP($L$4,Fancoils!$B$12:$I$21,10,FALSE))))))))))</f>
        <v>1.38</v>
      </c>
      <c r="M53" s="17">
        <f>IF(J53="200",HLOOKUP($M$4,Fancoils!$B$12:$I$21,2,FALSE),IF(J53="300",HLOOKUP($M$4,Fancoils!$B$12:$I$21,3,FALSE),IF(J53="400",HLOOKUP($M$4,Fancoils!$B$12:$I$21,4,FALSE),IF(J53="500",HLOOKUP($M$4,Fancoils!$B$12:$I$21,5,FALSE),IF(J53="600",HLOOKUP($M$4,Fancoils!$B$12:$I$21,6,FALSE),IF(J53="800",HLOOKUP($M$4,Fancoils!$B$12:$I$21,7,FALSE),IF(J53="1000",HLOOKUP($M$4,Fancoils!$B$12:$I$21,8,FALSE),IF(J53="1200",HLOOKUP($M$4,Fancoils!$B$12:$I$21,9,FALSE),IF(J53="1400",HLOOKUP($M$4,Fancoils!$B$12:$I$21,10,FALSE))))))))))</f>
        <v>1.8</v>
      </c>
      <c r="N53" s="17">
        <f>IF(J53="200",HLOOKUP($N$4,Fancoils!$B$12:$I$21,2,FALSE),IF(J53="300",HLOOKUP($N$4,Fancoils!$B$12:$I$21,3,FALSE),IF(J53="400",HLOOKUP($N$4,Fancoils!$B$12:$I$21,4,FALSE),IF(J53="500",HLOOKUP($N$4,Fancoils!$B$12:$I$21,5,FALSE),IF(J53="600",HLOOKUP($N$4,Fancoils!$B$12:$I$21,6,FALSE),IF(J53="800",HLOOKUP($N$4,Fancoils!$B$12:$I$21,7,FALSE),IF(J53="1000",HLOOKUP($N$4,Fancoils!$B$12:$I$21,8,FALSE),IF(J53="1200",HLOOKUP($N$4,Fancoils!$B$12:$I$21,9,FALSE),IF(J53="1400",HLOOKUP($N$4,Fancoils!$B$12:$I$21,10,FALSE))))))))))</f>
        <v>340</v>
      </c>
      <c r="O53" s="36">
        <f>REPORTE!P54</f>
        <v>33</v>
      </c>
      <c r="P53" s="36">
        <f t="shared" si="8"/>
        <v>118.8</v>
      </c>
      <c r="Q53" s="17">
        <f>IF(J53="200",HLOOKUP($Q$4,Fancoils!$B$12:$I$21,2,FALSE),IF(J53="300",HLOOKUP($Q$4,Fancoils!$B$12:$I$21,3,FALSE),IF(J53="400",HLOOKUP($Q$4,Fancoils!$B$12:$I$21,4,FALSE),IF(J53="500",HLOOKUP($Q$4,Fancoils!$B$12:$I$21,5,FALSE),IF(J53="600",HLOOKUP($Q$4,Fancoils!$B$12:$I$21,6,FALSE),IF(J53="800",HLOOKUP($Q$4,Fancoils!$B$12:$I$21,7,FALSE),IF(J53="1000",HLOOKUP($Q$4,Fancoils!$B$12:$I$21,8,FALSE),IF(J53="1200",HLOOKUP($Q$4,Fancoils!$B$12:$I$21,9,FALSE),IF(J53="1400",HLOOKUP($Q$4,Fancoils!$B$12:$I$21,10,FALSE))))))))))</f>
        <v>50</v>
      </c>
      <c r="R53" s="17" t="s">
        <v>18</v>
      </c>
      <c r="S53" s="17">
        <v>1</v>
      </c>
      <c r="T53" s="37">
        <f t="shared" si="9"/>
        <v>340</v>
      </c>
      <c r="U53" s="20">
        <f t="shared" si="10"/>
        <v>221.2</v>
      </c>
      <c r="V53" s="87">
        <f t="shared" si="5"/>
        <v>5.666666666666667</v>
      </c>
      <c r="W53" s="35">
        <f>IF(J53="200",HLOOKUP($W$4,Fancoils!$B$12:$S$21,2,FALSE),IF(J53="300",HLOOKUP($W$4,Fancoils!$B$12:$S$21,3,FALSE),IF(J53="400",HLOOKUP($W$4,Fancoils!$B$12:$S$21,4,FALSE),IF(J53="500",HLOOKUP($W$4,Fancoils!$B$12:$S$21,5,FALSE),IF(J53="600",HLOOKUP($W$4,Fancoils!$B$12:$S$21,6,FALSE),IF(J53="800",HLOOKUP($W$4,Fancoils!$B$12:$S$21,7,FALSE),IF(J53="1000",HLOOKUP($W$4,Fancoils!$B$12:$S$21,8,FALSE),IF(J53="1200",HLOOKUP($W$4,Fancoils!$B$12:$S$21,9,FALSE),IF(J53="1400",HLOOKUP($W$4,Fancoils!$B$12:$S$21,10,FALSE))))))))))</f>
        <v>5.7333333333333334</v>
      </c>
      <c r="X53" s="35">
        <f>IF(J53="200",HLOOKUP($X$4,Fancoils!$B$12:$S$21,2,FALSE),IF(J53="300",HLOOKUP($X$4,Fancoils!$B$12:$S$21,3,FALSE),IF(J53="400",HLOOKUP($X$4,Fancoils!$B$12:$S$21,4,FALSE),IF(J53="500",HLOOKUP($X$4,Fancoils!$B$12:$S$21,5,FALSE),IF(J53="600",HLOOKUP($X$4,Fancoils!$B$12:$S$21,6,FALSE),IF(J53="800",HLOOKUP($X$4,Fancoils!$B$12:$S$21,7,FALSE),IF(J53="1000",HLOOKUP($X$4,Fancoils!$B$12:$S$21,8,FALSE),IF(J53="1200",HLOOKUP($X$4,Fancoils!$B$12:$S$21,9,FALSE),IF(J53="1400",HLOOKUP($X$4,Fancoils!$B$12:$S$21,10,FALSE))))))))))</f>
        <v>4.333333333333333</v>
      </c>
      <c r="Y53" s="33" t="s">
        <v>121</v>
      </c>
      <c r="Z53" s="84">
        <f t="shared" si="6"/>
        <v>1.98</v>
      </c>
      <c r="AA53" s="33">
        <f>REPORTE!M54</f>
        <v>104</v>
      </c>
    </row>
    <row r="54" spans="2:30" s="33" customFormat="1" outlineLevel="1" x14ac:dyDescent="0.25">
      <c r="B54" s="17">
        <v>2</v>
      </c>
      <c r="C54" s="34" t="str">
        <f>REPORTE!A55</f>
        <v xml:space="preserve">2P 53 TRAB CLIN GRUPAL  </v>
      </c>
      <c r="D54" s="95"/>
      <c r="E54" s="17"/>
      <c r="F54" s="35"/>
      <c r="G54" s="35"/>
      <c r="H54" s="35"/>
      <c r="I54" s="35"/>
      <c r="J54" s="35"/>
      <c r="K54" s="17"/>
      <c r="L54" s="17"/>
      <c r="M54" s="17"/>
      <c r="N54" s="17"/>
      <c r="O54" s="36"/>
      <c r="P54" s="36"/>
      <c r="Q54" s="17"/>
      <c r="R54" s="17"/>
      <c r="S54" s="17"/>
      <c r="T54" s="37"/>
      <c r="U54" s="20"/>
      <c r="V54" s="87">
        <f t="shared" si="5"/>
        <v>0</v>
      </c>
      <c r="W54" s="35"/>
      <c r="X54" s="35"/>
      <c r="Z54" s="84"/>
      <c r="AA54" s="33">
        <f>REPORTE!M55</f>
        <v>0</v>
      </c>
    </row>
    <row r="55" spans="2:30" s="33" customFormat="1" ht="16.149999999999999" customHeight="1" outlineLevel="1" x14ac:dyDescent="0.25">
      <c r="B55" s="17">
        <v>2</v>
      </c>
      <c r="C55" s="34" t="str">
        <f>REPORTE!A56</f>
        <v xml:space="preserve">2P 54 BOX GINECOLOGICO  </v>
      </c>
      <c r="D55" s="17" t="s">
        <v>342</v>
      </c>
      <c r="E55" s="17" t="s">
        <v>12</v>
      </c>
      <c r="F55" s="35">
        <f>REPORTE!B56</f>
        <v>1.7</v>
      </c>
      <c r="G55" s="35">
        <f>REPORTE!C56</f>
        <v>1.7</v>
      </c>
      <c r="H55" s="35">
        <f>REPORTE!J56</f>
        <v>2.2999999999999998</v>
      </c>
      <c r="I55" s="35">
        <f>AA55*3.6</f>
        <v>540</v>
      </c>
      <c r="J55" s="35" t="str">
        <f t="shared" si="55"/>
        <v>300</v>
      </c>
      <c r="K55" s="17">
        <f>IF(J55="200",HLOOKUP($K$4,Fancoils!$B$12:$I$21,2,FALSE),IF(J55="300",HLOOKUP($K$4,Fancoils!$B$12:$I$21,3,FALSE),IF(J55="400",HLOOKUP($K$4,Fancoils!$B$12:$I$21,4,FALSE),IF(J55="500",HLOOKUP($K$4,Fancoils!$B$12:$I$21,5,FALSE),IF(J55="600",HLOOKUP($K$4,Fancoils!$B$12:$I$21,6,FALSE),IF(J55="800",HLOOKUP($K$4,Fancoils!$B$12:$I$21,7,FALSE),IF(J55="1000",HLOOKUP($K$4,Fancoils!$B$12:$I$21,8,FALSE),IF(J55="1200",HLOOKUP($K$4,Fancoils!$B$12:$I$21,9,FALSE),IF(J55="1400",HLOOKUP($K$4,Fancoils!$B$12:$I$21,10,FALSE))))))))))</f>
        <v>2.7</v>
      </c>
      <c r="L55" s="17">
        <f>IF(J55="200",HLOOKUP($L$4,Fancoils!$B$12:$I$21,2,FALSE),IF(J55="300",HLOOKUP($L$4,Fancoils!$B$12:$I$21,3,FALSE),IF(J55="400",HLOOKUP($L$4,Fancoils!$B$12:$I$21,4,FALSE),IF(J55="500",HLOOKUP($L$4,Fancoils!$B$12:$I$21,5,FALSE),IF(J55="600",HLOOKUP($L$4,Fancoils!$B$12:$I$21,6,FALSE),IF(J55="800",HLOOKUP($L$4,Fancoils!$B$12:$I$21,7,FALSE),IF(J55="1000",HLOOKUP($L$4,Fancoils!$B$12:$I$21,8,FALSE),IF(J55="1200",HLOOKUP($L$4,Fancoils!$B$12:$I$21,9,FALSE),IF(J55="1400",HLOOKUP($L$4,Fancoils!$B$12:$I$21,10,FALSE))))))))))</f>
        <v>1.86</v>
      </c>
      <c r="M55" s="17">
        <f>IF(J55="200",HLOOKUP($M$4,Fancoils!$B$12:$I$21,2,FALSE),IF(J55="300",HLOOKUP($M$4,Fancoils!$B$12:$I$21,3,FALSE),IF(J55="400",HLOOKUP($M$4,Fancoils!$B$12:$I$21,4,FALSE),IF(J55="500",HLOOKUP($M$4,Fancoils!$B$12:$I$21,5,FALSE),IF(J55="600",HLOOKUP($M$4,Fancoils!$B$12:$I$21,6,FALSE),IF(J55="800",HLOOKUP($M$4,Fancoils!$B$12:$I$21,7,FALSE),IF(J55="1000",HLOOKUP($M$4,Fancoils!$B$12:$I$21,8,FALSE),IF(J55="1200",HLOOKUP($M$4,Fancoils!$B$12:$I$21,9,FALSE),IF(J55="1400",HLOOKUP($M$4,Fancoils!$B$12:$I$21,10,FALSE))))))))))</f>
        <v>2.4</v>
      </c>
      <c r="N55" s="17">
        <f>IF(J55="200",HLOOKUP($N$4,Fancoils!$B$12:$I$21,2,FALSE),IF(J55="300",HLOOKUP($N$4,Fancoils!$B$12:$I$21,3,FALSE),IF(J55="400",HLOOKUP($N$4,Fancoils!$B$12:$I$21,4,FALSE),IF(J55="500",HLOOKUP($N$4,Fancoils!$B$12:$I$21,5,FALSE),IF(J55="600",HLOOKUP($N$4,Fancoils!$B$12:$I$21,6,FALSE),IF(J55="800",HLOOKUP($N$4,Fancoils!$B$12:$I$21,7,FALSE),IF(J55="1000",HLOOKUP($N$4,Fancoils!$B$12:$I$21,8,FALSE),IF(J55="1200",HLOOKUP($N$4,Fancoils!$B$12:$I$21,9,FALSE),IF(J55="1400",HLOOKUP($N$4,Fancoils!$B$12:$I$21,10,FALSE))))))))))</f>
        <v>510</v>
      </c>
      <c r="O55" s="36">
        <f>REPORTE!P56</f>
        <v>97</v>
      </c>
      <c r="P55" s="36">
        <f t="shared" si="8"/>
        <v>349.2</v>
      </c>
      <c r="Q55" s="17">
        <f>IF(J55="200",HLOOKUP($Q$4,Fancoils!$B$12:$I$21,2,FALSE),IF(J55="300",HLOOKUP($Q$4,Fancoils!$B$12:$I$21,3,FALSE),IF(J55="400",HLOOKUP($Q$4,Fancoils!$B$12:$I$21,4,FALSE),IF(J55="500",HLOOKUP($Q$4,Fancoils!$B$12:$I$21,5,FALSE),IF(J55="600",HLOOKUP($Q$4,Fancoils!$B$12:$I$21,6,FALSE),IF(J55="800",HLOOKUP($Q$4,Fancoils!$B$12:$I$21,7,FALSE),IF(J55="1000",HLOOKUP($Q$4,Fancoils!$B$12:$I$21,8,FALSE),IF(J55="1200",HLOOKUP($Q$4,Fancoils!$B$12:$I$21,9,FALSE),IF(J55="1400",HLOOKUP($Q$4,Fancoils!$B$12:$I$21,10,FALSE))))))))))</f>
        <v>50</v>
      </c>
      <c r="R55" s="17" t="s">
        <v>18</v>
      </c>
      <c r="S55" s="17">
        <v>2</v>
      </c>
      <c r="T55" s="37">
        <f t="shared" si="9"/>
        <v>255</v>
      </c>
      <c r="U55" s="20">
        <f t="shared" si="10"/>
        <v>160.80000000000001</v>
      </c>
      <c r="V55" s="87">
        <f t="shared" si="5"/>
        <v>4.25</v>
      </c>
      <c r="W55" s="35">
        <f>IF(J55="200",HLOOKUP($W$4,Fancoils!$B$12:$S$21,2,FALSE),IF(J55="300",HLOOKUP($W$4,Fancoils!$B$12:$S$21,3,FALSE),IF(J55="400",HLOOKUP($W$4,Fancoils!$B$12:$S$21,4,FALSE),IF(J55="500",HLOOKUP($W$4,Fancoils!$B$12:$S$21,5,FALSE),IF(J55="600",HLOOKUP($W$4,Fancoils!$B$12:$S$21,6,FALSE),IF(J55="800",HLOOKUP($W$4,Fancoils!$B$12:$S$21,7,FALSE),IF(J55="1000",HLOOKUP($W$4,Fancoils!$B$12:$S$21,8,FALSE),IF(J55="1200",HLOOKUP($W$4,Fancoils!$B$12:$S$21,9,FALSE),IF(J55="1400",HLOOKUP($W$4,Fancoils!$B$12:$S$21,10,FALSE))))))))))</f>
        <v>7.7333333333333334</v>
      </c>
      <c r="X55" s="35">
        <f>IF(J55="200",HLOOKUP($X$4,Fancoils!$B$12:$S$21,2,FALSE),IF(J55="300",HLOOKUP($X$4,Fancoils!$B$12:$S$21,3,FALSE),IF(J55="400",HLOOKUP($X$4,Fancoils!$B$12:$S$21,4,FALSE),IF(J55="500",HLOOKUP($X$4,Fancoils!$B$12:$S$21,5,FALSE),IF(J55="600",HLOOKUP($X$4,Fancoils!$B$12:$S$21,6,FALSE),IF(J55="800",HLOOKUP($X$4,Fancoils!$B$12:$S$21,7,FALSE),IF(J55="1000",HLOOKUP($X$4,Fancoils!$B$12:$S$21,8,FALSE),IF(J55="1200",HLOOKUP($X$4,Fancoils!$B$12:$S$21,9,FALSE),IF(J55="1400",HLOOKUP($X$4,Fancoils!$B$12:$S$21,10,FALSE))))))))))</f>
        <v>5.666666666666667</v>
      </c>
      <c r="Y55" s="33" t="s">
        <v>357</v>
      </c>
      <c r="Z55" s="84">
        <f t="shared" si="6"/>
        <v>5.8199999999999994</v>
      </c>
      <c r="AA55" s="33">
        <f>REPORTE!M56</f>
        <v>150</v>
      </c>
    </row>
    <row r="56" spans="2:30" s="33" customFormat="1" outlineLevel="1" x14ac:dyDescent="0.25">
      <c r="B56" s="17">
        <v>2</v>
      </c>
      <c r="C56" s="34" t="str">
        <f>REPORTE!A57</f>
        <v>2P 55 BOX CLINICO</v>
      </c>
      <c r="D56" s="17" t="s">
        <v>343</v>
      </c>
      <c r="E56" s="17" t="s">
        <v>12</v>
      </c>
      <c r="F56" s="35">
        <f>REPORTE!B57</f>
        <v>3.4</v>
      </c>
      <c r="G56" s="35">
        <f>REPORTE!C57</f>
        <v>3.3</v>
      </c>
      <c r="H56" s="35">
        <f>REPORTE!J57</f>
        <v>2</v>
      </c>
      <c r="I56" s="35">
        <f>AA56*3.6</f>
        <v>1108.8</v>
      </c>
      <c r="J56" s="35" t="str">
        <f t="shared" si="55"/>
        <v>600</v>
      </c>
      <c r="K56" s="17">
        <f>IF(J56="200",HLOOKUP($K$4,Fancoils!$B$12:$I$21,2,FALSE),IF(J56="300",HLOOKUP($K$4,Fancoils!$B$12:$I$21,3,FALSE),IF(J56="400",HLOOKUP($K$4,Fancoils!$B$12:$I$21,4,FALSE),IF(J56="500",HLOOKUP($K$4,Fancoils!$B$12:$I$21,5,FALSE),IF(J56="600",HLOOKUP($K$4,Fancoils!$B$12:$I$21,6,FALSE),IF(J56="800",HLOOKUP($K$4,Fancoils!$B$12:$I$21,7,FALSE),IF(J56="1000",HLOOKUP($K$4,Fancoils!$B$12:$I$21,8,FALSE),IF(J56="1200",HLOOKUP($K$4,Fancoils!$B$12:$I$21,9,FALSE),IF(J56="1400",HLOOKUP($K$4,Fancoils!$B$12:$I$21,10,FALSE))))))))))</f>
        <v>5</v>
      </c>
      <c r="L56" s="17">
        <f>IF(J56="200",HLOOKUP($L$4,Fancoils!$B$12:$I$21,2,FALSE),IF(J56="300",HLOOKUP($L$4,Fancoils!$B$12:$I$21,3,FALSE),IF(J56="400",HLOOKUP($L$4,Fancoils!$B$12:$I$21,4,FALSE),IF(J56="500",HLOOKUP($L$4,Fancoils!$B$12:$I$21,5,FALSE),IF(J56="600",HLOOKUP($L$4,Fancoils!$B$12:$I$21,6,FALSE),IF(J56="800",HLOOKUP($L$4,Fancoils!$B$12:$I$21,7,FALSE),IF(J56="1000",HLOOKUP($L$4,Fancoils!$B$12:$I$21,8,FALSE),IF(J56="1200",HLOOKUP($L$4,Fancoils!$B$12:$I$21,9,FALSE),IF(J56="1400",HLOOKUP($L$4,Fancoils!$B$12:$I$21,10,FALSE))))))))))</f>
        <v>3.44</v>
      </c>
      <c r="M56" s="17">
        <f>IF(J56="200",HLOOKUP($M$4,Fancoils!$B$12:$I$21,2,FALSE),IF(J56="300",HLOOKUP($M$4,Fancoils!$B$12:$I$21,3,FALSE),IF(J56="400",HLOOKUP($M$4,Fancoils!$B$12:$I$21,4,FALSE),IF(J56="500",HLOOKUP($M$4,Fancoils!$B$12:$I$21,5,FALSE),IF(J56="600",HLOOKUP($M$4,Fancoils!$B$12:$I$21,6,FALSE),IF(J56="800",HLOOKUP($M$4,Fancoils!$B$12:$I$21,7,FALSE),IF(J56="1000",HLOOKUP($M$4,Fancoils!$B$12:$I$21,8,FALSE),IF(J56="1200",HLOOKUP($M$4,Fancoils!$B$12:$I$21,9,FALSE),IF(J56="1400",HLOOKUP($M$4,Fancoils!$B$12:$I$21,10,FALSE))))))))))</f>
        <v>4.32</v>
      </c>
      <c r="N56" s="17">
        <f>IF(J56="200",HLOOKUP($N$4,Fancoils!$B$12:$I$21,2,FALSE),IF(J56="300",HLOOKUP($N$4,Fancoils!$B$12:$I$21,3,FALSE),IF(J56="400",HLOOKUP($N$4,Fancoils!$B$12:$I$21,4,FALSE),IF(J56="500",HLOOKUP($N$4,Fancoils!$B$12:$I$21,5,FALSE),IF(J56="600",HLOOKUP($N$4,Fancoils!$B$12:$I$21,6,FALSE),IF(J56="800",HLOOKUP($N$4,Fancoils!$B$12:$I$21,7,FALSE),IF(J56="1000",HLOOKUP($N$4,Fancoils!$B$12:$I$21,8,FALSE),IF(J56="1200",HLOOKUP($N$4,Fancoils!$B$12:$I$21,9,FALSE),IF(J56="1400",HLOOKUP($N$4,Fancoils!$B$12:$I$21,10,FALSE))))))))))</f>
        <v>1020</v>
      </c>
      <c r="O56" s="36">
        <f>REPORTE!P57</f>
        <v>66</v>
      </c>
      <c r="P56" s="36">
        <f>O56*3.6</f>
        <v>237.6</v>
      </c>
      <c r="Q56" s="17">
        <f>IF(J56="200",HLOOKUP($Q$4,Fancoils!$B$12:$I$21,2,FALSE),IF(J56="300",HLOOKUP($Q$4,Fancoils!$B$12:$I$21,3,FALSE),IF(J56="400",HLOOKUP($Q$4,Fancoils!$B$12:$I$21,4,FALSE),IF(J56="500",HLOOKUP($Q$4,Fancoils!$B$12:$I$21,5,FALSE),IF(J56="600",HLOOKUP($Q$4,Fancoils!$B$12:$I$21,6,FALSE),IF(J56="800",HLOOKUP($Q$4,Fancoils!$B$12:$I$21,7,FALSE),IF(J56="1000",HLOOKUP($Q$4,Fancoils!$B$12:$I$21,8,FALSE),IF(J56="1200",HLOOKUP($Q$4,Fancoils!$B$12:$I$21,9,FALSE),IF(J56="1400",HLOOKUP($Q$4,Fancoils!$B$12:$I$21,10,FALSE))))))))))</f>
        <v>170</v>
      </c>
      <c r="R56" s="17" t="s">
        <v>18</v>
      </c>
      <c r="S56" s="17">
        <v>2</v>
      </c>
      <c r="T56" s="37">
        <f>N56/S56</f>
        <v>510</v>
      </c>
      <c r="U56" s="20">
        <f>N56-P56</f>
        <v>782.4</v>
      </c>
      <c r="V56" s="87">
        <f t="shared" si="5"/>
        <v>8.5</v>
      </c>
      <c r="W56" s="35">
        <f>IF(J56="200",HLOOKUP($W$4,Fancoils!$B$12:$S$21,2,FALSE),IF(J56="300",HLOOKUP($W$4,Fancoils!$B$12:$S$21,3,FALSE),IF(J56="400",HLOOKUP($W$4,Fancoils!$B$12:$S$21,4,FALSE),IF(J56="500",HLOOKUP($W$4,Fancoils!$B$12:$S$21,5,FALSE),IF(J56="600",HLOOKUP($W$4,Fancoils!$B$12:$S$21,6,FALSE),IF(J56="800",HLOOKUP($W$4,Fancoils!$B$12:$S$21,7,FALSE),IF(J56="1000",HLOOKUP($W$4,Fancoils!$B$12:$S$21,8,FALSE),IF(J56="1200",HLOOKUP($W$4,Fancoils!$B$12:$S$21,9,FALSE),IF(J56="1400",HLOOKUP($W$4,Fancoils!$B$12:$S$21,10,FALSE))))))))))</f>
        <v>14.333333333333334</v>
      </c>
      <c r="X56" s="35">
        <f>IF(J56="200",HLOOKUP($X$4,Fancoils!$B$12:$S$21,2,FALSE),IF(J56="300",HLOOKUP($X$4,Fancoils!$B$12:$S$21,3,FALSE),IF(J56="400",HLOOKUP($X$4,Fancoils!$B$12:$S$21,4,FALSE),IF(J56="500",HLOOKUP($X$4,Fancoils!$B$12:$S$21,5,FALSE),IF(J56="600",HLOOKUP($X$4,Fancoils!$B$12:$S$21,6,FALSE),IF(J56="800",HLOOKUP($X$4,Fancoils!$B$12:$S$21,7,FALSE),IF(J56="1000",HLOOKUP($X$4,Fancoils!$B$12:$S$21,8,FALSE),IF(J56="1200",HLOOKUP($X$4,Fancoils!$B$12:$S$21,9,FALSE),IF(J56="1400",HLOOKUP($X$4,Fancoils!$B$12:$S$21,10,FALSE))))))))))</f>
        <v>10.333333333333334</v>
      </c>
      <c r="Y56" s="33" t="s">
        <v>357</v>
      </c>
      <c r="Z56" s="84">
        <f t="shared" si="6"/>
        <v>3.96</v>
      </c>
      <c r="AA56" s="33">
        <f>REPORTE!M57</f>
        <v>308</v>
      </c>
    </row>
    <row r="57" spans="2:30" s="33" customFormat="1" outlineLevel="1" x14ac:dyDescent="0.25">
      <c r="B57" s="17">
        <v>2</v>
      </c>
      <c r="C57" s="34" t="str">
        <f>REPORTE!A58</f>
        <v xml:space="preserve">2P 56 BOX CLINICO       </v>
      </c>
      <c r="D57" s="94" t="s">
        <v>344</v>
      </c>
      <c r="E57" s="17" t="s">
        <v>12</v>
      </c>
      <c r="F57" s="35">
        <f>REPORTE!B58</f>
        <v>6.6</v>
      </c>
      <c r="G57" s="35">
        <f>REPORTE!C58</f>
        <v>6.5</v>
      </c>
      <c r="H57" s="35">
        <f>REPORTE!J58</f>
        <v>5</v>
      </c>
      <c r="I57" s="35">
        <f>AA57*3.6</f>
        <v>2188.8000000000002</v>
      </c>
      <c r="J57" s="35" t="str">
        <f t="shared" ref="J57" si="56">+IF(G57&lt;1.38,"200",IF(AND(1.39&lt;G57,G57&lt;1.86),"300",IF(AND(1.87&lt;G57,G57&lt;2.48),"400",IF(AND(2.49&lt;G57,G57&lt;2.96),"500",IF(AND(2.97&lt;G57,G57&lt;3.44),"600",IF(AND(3.45&lt;G57,G57&lt;4.68),"800",IF(AND(4.69&lt;G57,G57&lt;5.37),"1000",IF(AND(5.38&lt;G57,G57&lt;7.02),"1200",IF(AND(7.1&lt;G57,G57&gt;7.92),"1400",)))))))))</f>
        <v>1200</v>
      </c>
      <c r="K57" s="17">
        <f>IF(J57="200",HLOOKUP($K$4,Fancoils!$B$12:$I$21,2,FALSE),IF(J57="300",HLOOKUP($K$4,Fancoils!$B$12:$I$21,3,FALSE),IF(J57="400",HLOOKUP($K$4,Fancoils!$B$12:$I$21,4,FALSE),IF(J57="500",HLOOKUP($K$4,Fancoils!$B$12:$I$21,5,FALSE),IF(J57="600",HLOOKUP($K$4,Fancoils!$B$12:$I$21,6,FALSE),IF(J57="800",HLOOKUP($K$4,Fancoils!$B$12:$I$21,7,FALSE),IF(J57="1000",HLOOKUP($K$4,Fancoils!$B$12:$I$21,8,FALSE),IF(J57="1200",HLOOKUP($K$4,Fancoils!$B$12:$I$21,9,FALSE),IF(J57="1400",HLOOKUP($K$4,Fancoils!$B$12:$I$21,10,FALSE))))))))))</f>
        <v>10.199999999999999</v>
      </c>
      <c r="L57" s="17">
        <f>IF(J57="200",HLOOKUP($L$4,Fancoils!$B$12:$I$21,2,FALSE),IF(J57="300",HLOOKUP($L$4,Fancoils!$B$12:$I$21,3,FALSE),IF(J57="400",HLOOKUP($L$4,Fancoils!$B$12:$I$21,4,FALSE),IF(J57="500",HLOOKUP($L$4,Fancoils!$B$12:$I$21,5,FALSE),IF(J57="600",HLOOKUP($L$4,Fancoils!$B$12:$I$21,6,FALSE),IF(J57="800",HLOOKUP($L$4,Fancoils!$B$12:$I$21,7,FALSE),IF(J57="1000",HLOOKUP($L$4,Fancoils!$B$12:$I$21,8,FALSE),IF(J57="1200",HLOOKUP($L$4,Fancoils!$B$12:$I$21,9,FALSE),IF(J57="1400",HLOOKUP($L$4,Fancoils!$B$12:$I$21,10,FALSE))))))))))</f>
        <v>7.02</v>
      </c>
      <c r="M57" s="17">
        <f>IF(J57="200",HLOOKUP($M$4,Fancoils!$B$12:$I$21,2,FALSE),IF(J57="300",HLOOKUP($M$4,Fancoils!$B$12:$I$21,3,FALSE),IF(J57="400",HLOOKUP($M$4,Fancoils!$B$12:$I$21,4,FALSE),IF(J57="500",HLOOKUP($M$4,Fancoils!$B$12:$I$21,5,FALSE),IF(J57="600",HLOOKUP($M$4,Fancoils!$B$12:$I$21,6,FALSE),IF(J57="800",HLOOKUP($M$4,Fancoils!$B$12:$I$21,7,FALSE),IF(J57="1000",HLOOKUP($M$4,Fancoils!$B$12:$I$21,8,FALSE),IF(J57="1200",HLOOKUP($M$4,Fancoils!$B$12:$I$21,9,FALSE),IF(J57="1400",HLOOKUP($M$4,Fancoils!$B$12:$I$21,10,FALSE))))))))))</f>
        <v>8.1</v>
      </c>
      <c r="N57" s="17">
        <f>IF(J57="200",HLOOKUP($N$4,Fancoils!$B$12:$I$21,2,FALSE),IF(J57="300",HLOOKUP($N$4,Fancoils!$B$12:$I$21,3,FALSE),IF(J57="400",HLOOKUP($N$4,Fancoils!$B$12:$I$21,4,FALSE),IF(J57="500",HLOOKUP($N$4,Fancoils!$B$12:$I$21,5,FALSE),IF(J57="600",HLOOKUP($N$4,Fancoils!$B$12:$I$21,6,FALSE),IF(J57="800",HLOOKUP($N$4,Fancoils!$B$12:$I$21,7,FALSE),IF(J57="1000",HLOOKUP($N$4,Fancoils!$B$12:$I$21,8,FALSE),IF(J57="1200",HLOOKUP($N$4,Fancoils!$B$12:$I$21,9,FALSE),IF(J57="1400",HLOOKUP($N$4,Fancoils!$B$12:$I$21,10,FALSE))))))))))</f>
        <v>1860</v>
      </c>
      <c r="O57" s="36">
        <f>REPORTE!P58</f>
        <v>175</v>
      </c>
      <c r="P57" s="36">
        <f>O57*3.6</f>
        <v>630</v>
      </c>
      <c r="Q57" s="17">
        <f>IF(J57="200",HLOOKUP($Q$4,Fancoils!$B$12:$I$21,2,FALSE),IF(J57="300",HLOOKUP($Q$4,Fancoils!$B$12:$I$21,3,FALSE),IF(J57="400",HLOOKUP($Q$4,Fancoils!$B$12:$I$21,4,FALSE),IF(J57="500",HLOOKUP($Q$4,Fancoils!$B$12:$I$21,5,FALSE),IF(J57="600",HLOOKUP($Q$4,Fancoils!$B$12:$I$21,6,FALSE),IF(J57="800",HLOOKUP($Q$4,Fancoils!$B$12:$I$21,7,FALSE),IF(J57="1000",HLOOKUP($Q$4,Fancoils!$B$12:$I$21,8,FALSE),IF(J57="1200",HLOOKUP($Q$4,Fancoils!$B$12:$I$21,9,FALSE),IF(J57="1400",HLOOKUP($Q$4,Fancoils!$B$12:$I$21,10,FALSE))))))))))</f>
        <v>200</v>
      </c>
      <c r="R57" s="17" t="s">
        <v>48</v>
      </c>
      <c r="S57" s="17">
        <v>4</v>
      </c>
      <c r="T57" s="37">
        <f>N57/S57</f>
        <v>465</v>
      </c>
      <c r="U57" s="20"/>
      <c r="V57" s="87">
        <f t="shared" si="5"/>
        <v>7.75</v>
      </c>
      <c r="W57" s="35">
        <f>IF(J57="200",HLOOKUP($W$4,Fancoils!$B$12:$S$21,2,FALSE),IF(J57="300",HLOOKUP($W$4,Fancoils!$B$12:$S$21,3,FALSE),IF(J57="400",HLOOKUP($W$4,Fancoils!$B$12:$S$21,4,FALSE),IF(J57="500",HLOOKUP($W$4,Fancoils!$B$12:$S$21,5,FALSE),IF(J57="600",HLOOKUP($W$4,Fancoils!$B$12:$S$21,6,FALSE),IF(J57="800",HLOOKUP($W$4,Fancoils!$B$12:$S$21,7,FALSE),IF(J57="1000",HLOOKUP($W$4,Fancoils!$B$12:$S$21,8,FALSE),IF(J57="1200",HLOOKUP($W$4,Fancoils!$B$12:$S$21,9,FALSE),IF(J57="1400",HLOOKUP($W$4,Fancoils!$B$12:$S$21,10,FALSE))))))))))</f>
        <v>29.233333333333334</v>
      </c>
      <c r="X57" s="35">
        <f>IF(J57="200",HLOOKUP($X$4,Fancoils!$B$12:$S$21,2,FALSE),IF(J57="300",HLOOKUP($X$4,Fancoils!$B$12:$S$21,3,FALSE),IF(J57="400",HLOOKUP($X$4,Fancoils!$B$12:$S$21,4,FALSE),IF(J57="500",HLOOKUP($X$4,Fancoils!$B$12:$S$21,5,FALSE),IF(J57="600",HLOOKUP($X$4,Fancoils!$B$12:$S$21,6,FALSE),IF(J57="800",HLOOKUP($X$4,Fancoils!$B$12:$S$21,7,FALSE),IF(J57="1000",HLOOKUP($X$4,Fancoils!$B$12:$S$21,8,FALSE),IF(J57="1200",HLOOKUP($X$4,Fancoils!$B$12:$S$21,9,FALSE),IF(J57="1400",HLOOKUP($X$4,Fancoils!$B$12:$S$21,10,FALSE))))))))))</f>
        <v>19.333333333333332</v>
      </c>
      <c r="Y57" s="33" t="s">
        <v>121</v>
      </c>
      <c r="Z57" s="84">
        <f t="shared" si="6"/>
        <v>10.5</v>
      </c>
      <c r="AA57" s="33">
        <f>REPORTE!M58</f>
        <v>608</v>
      </c>
    </row>
    <row r="58" spans="2:30" s="33" customFormat="1" outlineLevel="1" x14ac:dyDescent="0.25">
      <c r="B58" s="17">
        <v>2</v>
      </c>
      <c r="C58" s="34" t="str">
        <f>REPORTE!A59</f>
        <v xml:space="preserve">2P 57 BOX CLINICO       </v>
      </c>
      <c r="D58" s="95"/>
      <c r="E58" s="17"/>
      <c r="F58" s="35"/>
      <c r="G58" s="35"/>
      <c r="H58" s="35"/>
      <c r="I58" s="35"/>
      <c r="J58" s="35"/>
      <c r="K58" s="17"/>
      <c r="L58" s="17"/>
      <c r="M58" s="17"/>
      <c r="N58" s="17"/>
      <c r="O58" s="36"/>
      <c r="P58" s="36"/>
      <c r="Q58" s="17"/>
      <c r="R58" s="17"/>
      <c r="S58" s="17"/>
      <c r="T58" s="37"/>
      <c r="U58" s="20"/>
      <c r="V58" s="87">
        <f t="shared" si="5"/>
        <v>0</v>
      </c>
      <c r="W58" s="35"/>
      <c r="X58" s="35"/>
      <c r="Z58" s="84"/>
      <c r="AA58" s="33">
        <f>REPORTE!M59</f>
        <v>0</v>
      </c>
    </row>
    <row r="59" spans="2:30" s="33" customFormat="1" outlineLevel="1" x14ac:dyDescent="0.25">
      <c r="B59" s="17">
        <v>2</v>
      </c>
      <c r="C59" s="34" t="str">
        <f>REPORTE!A60</f>
        <v xml:space="preserve">2P 58 BOX CLINICO       </v>
      </c>
      <c r="D59" s="17" t="s">
        <v>345</v>
      </c>
      <c r="E59" s="17" t="s">
        <v>12</v>
      </c>
      <c r="F59" s="35">
        <f>REPORTE!B60</f>
        <v>2.2000000000000002</v>
      </c>
      <c r="G59" s="35">
        <f>REPORTE!C60</f>
        <v>2.1</v>
      </c>
      <c r="H59" s="35">
        <f>REPORTE!J60</f>
        <v>1.6</v>
      </c>
      <c r="I59" s="35">
        <f>AA59*3.6</f>
        <v>730.80000000000007</v>
      </c>
      <c r="J59" s="35" t="str">
        <f t="shared" si="55"/>
        <v>400</v>
      </c>
      <c r="K59" s="17">
        <f>IF(J59="200",HLOOKUP($K$4,Fancoils!$B$12:$I$21,2,FALSE),IF(J59="300",HLOOKUP($K$4,Fancoils!$B$12:$I$21,3,FALSE),IF(J59="400",HLOOKUP($K$4,Fancoils!$B$12:$I$21,4,FALSE),IF(J59="500",HLOOKUP($K$4,Fancoils!$B$12:$I$21,5,FALSE),IF(J59="600",HLOOKUP($K$4,Fancoils!$B$12:$I$21,6,FALSE),IF(J59="800",HLOOKUP($K$4,Fancoils!$B$12:$I$21,7,FALSE),IF(J59="1000",HLOOKUP($K$4,Fancoils!$B$12:$I$21,8,FALSE),IF(J59="1200",HLOOKUP($K$4,Fancoils!$B$12:$I$21,9,FALSE),IF(J59="1400",HLOOKUP($K$4,Fancoils!$B$12:$I$21,10,FALSE))))))))))</f>
        <v>3.6</v>
      </c>
      <c r="L59" s="17">
        <f>IF(J59="200",HLOOKUP($L$4,Fancoils!$B$12:$I$21,2,FALSE),IF(J59="300",HLOOKUP($L$4,Fancoils!$B$12:$I$21,3,FALSE),IF(J59="400",HLOOKUP($L$4,Fancoils!$B$12:$I$21,4,FALSE),IF(J59="500",HLOOKUP($L$4,Fancoils!$B$12:$I$21,5,FALSE),IF(J59="600",HLOOKUP($L$4,Fancoils!$B$12:$I$21,6,FALSE),IF(J59="800",HLOOKUP($L$4,Fancoils!$B$12:$I$21,7,FALSE),IF(J59="1000",HLOOKUP($L$4,Fancoils!$B$12:$I$21,8,FALSE),IF(J59="1200",HLOOKUP($L$4,Fancoils!$B$12:$I$21,9,FALSE),IF(J59="1400",HLOOKUP($L$4,Fancoils!$B$12:$I$21,10,FALSE))))))))))</f>
        <v>2.48</v>
      </c>
      <c r="M59" s="17">
        <f>IF(J59="200",HLOOKUP($M$4,Fancoils!$B$12:$I$21,2,FALSE),IF(J59="300",HLOOKUP($M$4,Fancoils!$B$12:$I$21,3,FALSE),IF(J59="400",HLOOKUP($M$4,Fancoils!$B$12:$I$21,4,FALSE),IF(J59="500",HLOOKUP($M$4,Fancoils!$B$12:$I$21,5,FALSE),IF(J59="600",HLOOKUP($M$4,Fancoils!$B$12:$I$21,6,FALSE),IF(J59="800",HLOOKUP($M$4,Fancoils!$B$12:$I$21,7,FALSE),IF(J59="1000",HLOOKUP($M$4,Fancoils!$B$12:$I$21,8,FALSE),IF(J59="1200",HLOOKUP($M$4,Fancoils!$B$12:$I$21,9,FALSE),IF(J59="1400",HLOOKUP($M$4,Fancoils!$B$12:$I$21,10,FALSE))))))))))</f>
        <v>3.12</v>
      </c>
      <c r="N59" s="17">
        <f>IF(J59="200",HLOOKUP($N$4,Fancoils!$B$12:$I$21,2,FALSE),IF(J59="300",HLOOKUP($N$4,Fancoils!$B$12:$I$21,3,FALSE),IF(J59="400",HLOOKUP($N$4,Fancoils!$B$12:$I$21,4,FALSE),IF(J59="500",HLOOKUP($N$4,Fancoils!$B$12:$I$21,5,FALSE),IF(J59="600",HLOOKUP($N$4,Fancoils!$B$12:$I$21,6,FALSE),IF(J59="800",HLOOKUP($N$4,Fancoils!$B$12:$I$21,7,FALSE),IF(J59="1000",HLOOKUP($N$4,Fancoils!$B$12:$I$21,8,FALSE),IF(J59="1200",HLOOKUP($N$4,Fancoils!$B$12:$I$21,9,FALSE),IF(J59="1400",HLOOKUP($N$4,Fancoils!$B$12:$I$21,10,FALSE))))))))))</f>
        <v>680</v>
      </c>
      <c r="O59" s="36">
        <f>REPORTE!P60</f>
        <v>58</v>
      </c>
      <c r="P59" s="36">
        <f t="shared" ref="P59:P82" si="57">O59*3.6</f>
        <v>208.8</v>
      </c>
      <c r="Q59" s="17">
        <f>IF(J59="200",HLOOKUP($Q$4,Fancoils!$B$12:$I$21,2,FALSE),IF(J59="300",HLOOKUP($Q$4,Fancoils!$B$12:$I$21,3,FALSE),IF(J59="400",HLOOKUP($Q$4,Fancoils!$B$12:$I$21,4,FALSE),IF(J59="500",HLOOKUP($Q$4,Fancoils!$B$12:$I$21,5,FALSE),IF(J59="600",HLOOKUP($Q$4,Fancoils!$B$12:$I$21,6,FALSE),IF(J59="800",HLOOKUP($Q$4,Fancoils!$B$12:$I$21,7,FALSE),IF(J59="1000",HLOOKUP($Q$4,Fancoils!$B$12:$I$21,8,FALSE),IF(J59="1200",HLOOKUP($Q$4,Fancoils!$B$12:$I$21,9,FALSE),IF(J59="1400",HLOOKUP($Q$4,Fancoils!$B$12:$I$21,10,FALSE))))))))))</f>
        <v>70</v>
      </c>
      <c r="R59" s="17" t="s">
        <v>49</v>
      </c>
      <c r="S59" s="17">
        <v>2</v>
      </c>
      <c r="T59" s="37">
        <f t="shared" ref="T59:T82" si="58">N59/S59</f>
        <v>340</v>
      </c>
      <c r="U59" s="20">
        <f t="shared" ref="U59:U82" si="59">N59-P59</f>
        <v>471.2</v>
      </c>
      <c r="V59" s="87">
        <f t="shared" si="5"/>
        <v>5.666666666666667</v>
      </c>
      <c r="W59" s="35">
        <f>IF(J59="200",HLOOKUP($W$4,Fancoils!$B$12:$S$21,2,FALSE),IF(J59="300",HLOOKUP($W$4,Fancoils!$B$12:$S$21,3,FALSE),IF(J59="400",HLOOKUP($W$4,Fancoils!$B$12:$S$21,4,FALSE),IF(J59="500",HLOOKUP($W$4,Fancoils!$B$12:$S$21,5,FALSE),IF(J59="600",HLOOKUP($W$4,Fancoils!$B$12:$S$21,6,FALSE),IF(J59="800",HLOOKUP($W$4,Fancoils!$B$12:$S$21,7,FALSE),IF(J59="1000",HLOOKUP($W$4,Fancoils!$B$12:$S$21,8,FALSE),IF(J59="1200",HLOOKUP($W$4,Fancoils!$B$12:$S$21,9,FALSE),IF(J59="1400",HLOOKUP($W$4,Fancoils!$B$12:$S$21,10,FALSE))))))))))</f>
        <v>10.316666666666666</v>
      </c>
      <c r="X59" s="35">
        <f>IF(J59="200",HLOOKUP($X$4,Fancoils!$B$12:$S$21,2,FALSE),IF(J59="300",HLOOKUP($X$4,Fancoils!$B$12:$S$21,3,FALSE),IF(J59="400",HLOOKUP($X$4,Fancoils!$B$12:$S$21,4,FALSE),IF(J59="500",HLOOKUP($X$4,Fancoils!$B$12:$S$21,5,FALSE),IF(J59="600",HLOOKUP($X$4,Fancoils!$B$12:$S$21,6,FALSE),IF(J59="800",HLOOKUP($X$4,Fancoils!$B$12:$S$21,7,FALSE),IF(J59="1000",HLOOKUP($X$4,Fancoils!$B$12:$S$21,8,FALSE),IF(J59="1200",HLOOKUP($X$4,Fancoils!$B$12:$S$21,9,FALSE),IF(J59="1400",HLOOKUP($X$4,Fancoils!$B$12:$S$21,10,FALSE))))))))))</f>
        <v>7.5000000000000009</v>
      </c>
      <c r="Y59" s="33" t="s">
        <v>357</v>
      </c>
      <c r="Z59" s="84">
        <f t="shared" si="6"/>
        <v>3.48</v>
      </c>
      <c r="AA59" s="33">
        <f>REPORTE!M60</f>
        <v>203</v>
      </c>
      <c r="AB59" s="33">
        <f>SUM(Z59:Z62)</f>
        <v>15.120000000000001</v>
      </c>
      <c r="AC59" s="33" t="s">
        <v>111</v>
      </c>
    </row>
    <row r="60" spans="2:30" s="33" customFormat="1" outlineLevel="1" x14ac:dyDescent="0.25">
      <c r="B60" s="17">
        <v>2</v>
      </c>
      <c r="C60" s="34" t="str">
        <f>REPORTE!A61</f>
        <v xml:space="preserve">2P 59 ESTERILIZACION    </v>
      </c>
      <c r="D60" s="17" t="s">
        <v>495</v>
      </c>
      <c r="E60" s="17" t="s">
        <v>12</v>
      </c>
      <c r="F60" s="35">
        <f>REPORTE!B61</f>
        <v>4.9000000000000004</v>
      </c>
      <c r="G60" s="35">
        <f>REPORTE!C61</f>
        <v>4.8</v>
      </c>
      <c r="H60" s="35">
        <f>REPORTE!J61</f>
        <v>1.1000000000000001</v>
      </c>
      <c r="I60" s="35">
        <f>AA60*3.6</f>
        <v>1443.6000000000001</v>
      </c>
      <c r="J60" s="35" t="str">
        <f t="shared" si="55"/>
        <v>1000</v>
      </c>
      <c r="K60" s="17">
        <f>IF(J60="200",HLOOKUP($K$4,Fancoils!$B$12:$I$21,2,FALSE),IF(J60="300",HLOOKUP($K$4,Fancoils!$B$12:$I$21,3,FALSE),IF(J60="400",HLOOKUP($K$4,Fancoils!$B$12:$I$21,4,FALSE),IF(J60="500",HLOOKUP($K$4,Fancoils!$B$12:$I$21,5,FALSE),IF(J60="600",HLOOKUP($K$4,Fancoils!$B$12:$I$21,6,FALSE),IF(J60="800",HLOOKUP($K$4,Fancoils!$B$12:$I$21,7,FALSE),IF(J60="1000",HLOOKUP($K$4,Fancoils!$B$12:$I$21,8,FALSE),IF(J60="1200",HLOOKUP($K$4,Fancoils!$B$12:$I$21,9,FALSE),IF(J60="1400",HLOOKUP($K$4,Fancoils!$B$12:$I$21,10,FALSE))))))))))</f>
        <v>7.8</v>
      </c>
      <c r="L60" s="17">
        <f>IF(J60="200",HLOOKUP($L$4,Fancoils!$B$12:$I$21,2,FALSE),IF(J60="300",HLOOKUP($L$4,Fancoils!$B$12:$I$21,3,FALSE),IF(J60="400",HLOOKUP($L$4,Fancoils!$B$12:$I$21,4,FALSE),IF(J60="500",HLOOKUP($L$4,Fancoils!$B$12:$I$21,5,FALSE),IF(J60="600",HLOOKUP($L$4,Fancoils!$B$12:$I$21,6,FALSE),IF(J60="800",HLOOKUP($L$4,Fancoils!$B$12:$I$21,7,FALSE),IF(J60="1000",HLOOKUP($L$4,Fancoils!$B$12:$I$21,8,FALSE),IF(J60="1200",HLOOKUP($L$4,Fancoils!$B$12:$I$21,9,FALSE),IF(J60="1400",HLOOKUP($L$4,Fancoils!$B$12:$I$21,10,FALSE))))))))))</f>
        <v>5.37</v>
      </c>
      <c r="M60" s="17">
        <f>IF(J60="200",HLOOKUP($M$4,Fancoils!$B$12:$I$21,2,FALSE),IF(J60="300",HLOOKUP($M$4,Fancoils!$B$12:$I$21,3,FALSE),IF(J60="400",HLOOKUP($M$4,Fancoils!$B$12:$I$21,4,FALSE),IF(J60="500",HLOOKUP($M$4,Fancoils!$B$12:$I$21,5,FALSE),IF(J60="600",HLOOKUP($M$4,Fancoils!$B$12:$I$21,6,FALSE),IF(J60="800",HLOOKUP($M$4,Fancoils!$B$12:$I$21,7,FALSE),IF(J60="1000",HLOOKUP($M$4,Fancoils!$B$12:$I$21,8,FALSE),IF(J60="1200",HLOOKUP($M$4,Fancoils!$B$12:$I$21,9,FALSE),IF(J60="1400",HLOOKUP($M$4,Fancoils!$B$12:$I$21,10,FALSE))))))))))</f>
        <v>6.48</v>
      </c>
      <c r="N60" s="17">
        <f>IF(J60="200",HLOOKUP($N$4,Fancoils!$B$12:$I$21,2,FALSE),IF(J60="300",HLOOKUP($N$4,Fancoils!$B$12:$I$21,3,FALSE),IF(J60="400",HLOOKUP($N$4,Fancoils!$B$12:$I$21,4,FALSE),IF(J60="500",HLOOKUP($N$4,Fancoils!$B$12:$I$21,5,FALSE),IF(J60="600",HLOOKUP($N$4,Fancoils!$B$12:$I$21,6,FALSE),IF(J60="800",HLOOKUP($N$4,Fancoils!$B$12:$I$21,7,FALSE),IF(J60="1000",HLOOKUP($N$4,Fancoils!$B$12:$I$21,8,FALSE),IF(J60="1200",HLOOKUP($N$4,Fancoils!$B$12:$I$21,9,FALSE),IF(J60="1400",HLOOKUP($N$4,Fancoils!$B$12:$I$21,10,FALSE))))))))))</f>
        <v>1700</v>
      </c>
      <c r="O60" s="36">
        <f>REPORTE!P61</f>
        <v>20</v>
      </c>
      <c r="P60" s="36">
        <f t="shared" si="57"/>
        <v>72</v>
      </c>
      <c r="Q60" s="17">
        <f>IF(J60="200",HLOOKUP($Q$4,Fancoils!$B$12:$I$21,2,FALSE),IF(J60="300",HLOOKUP($Q$4,Fancoils!$B$12:$I$21,3,FALSE),IF(J60="400",HLOOKUP($Q$4,Fancoils!$B$12:$I$21,4,FALSE),IF(J60="500",HLOOKUP($Q$4,Fancoils!$B$12:$I$21,5,FALSE),IF(J60="600",HLOOKUP($Q$4,Fancoils!$B$12:$I$21,6,FALSE),IF(J60="800",HLOOKUP($Q$4,Fancoils!$B$12:$I$21,7,FALSE),IF(J60="1000",HLOOKUP($Q$4,Fancoils!$B$12:$I$21,8,FALSE),IF(J60="1200",HLOOKUP($Q$4,Fancoils!$B$12:$I$21,9,FALSE),IF(J60="1400",HLOOKUP($Q$4,Fancoils!$B$12:$I$21,10,FALSE))))))))))</f>
        <v>200</v>
      </c>
      <c r="R60" s="17" t="s">
        <v>50</v>
      </c>
      <c r="S60" s="17">
        <v>4</v>
      </c>
      <c r="T60" s="37">
        <f t="shared" si="58"/>
        <v>425</v>
      </c>
      <c r="U60" s="20">
        <f t="shared" si="59"/>
        <v>1628</v>
      </c>
      <c r="V60" s="87">
        <f t="shared" si="5"/>
        <v>7.083333333333333</v>
      </c>
      <c r="W60" s="35">
        <f>IF(J60="200",HLOOKUP($W$4,Fancoils!$B$12:$S$21,2,FALSE),IF(J60="300",HLOOKUP($W$4,Fancoils!$B$12:$S$21,3,FALSE),IF(J60="400",HLOOKUP($W$4,Fancoils!$B$12:$S$21,4,FALSE),IF(J60="500",HLOOKUP($W$4,Fancoils!$B$12:$S$21,5,FALSE),IF(J60="600",HLOOKUP($W$4,Fancoils!$B$12:$S$21,6,FALSE),IF(J60="800",HLOOKUP($W$4,Fancoils!$B$12:$S$21,7,FALSE),IF(J60="1000",HLOOKUP($W$4,Fancoils!$B$12:$S$21,8,FALSE),IF(J60="1200",HLOOKUP($W$4,Fancoils!$B$12:$S$21,9,FALSE),IF(J60="1400",HLOOKUP($W$4,Fancoils!$B$12:$S$21,10,FALSE))))))))))</f>
        <v>22.366666666666667</v>
      </c>
      <c r="X60" s="35">
        <f>IF(J60="200",HLOOKUP($X$4,Fancoils!$B$12:$S$21,2,FALSE),IF(J60="300",HLOOKUP($X$4,Fancoils!$B$12:$S$21,3,FALSE),IF(J60="400",HLOOKUP($X$4,Fancoils!$B$12:$S$21,4,FALSE),IF(J60="500",HLOOKUP($X$4,Fancoils!$B$12:$S$21,5,FALSE),IF(J60="600",HLOOKUP($X$4,Fancoils!$B$12:$S$21,6,FALSE),IF(J60="800",HLOOKUP($X$4,Fancoils!$B$12:$S$21,7,FALSE),IF(J60="1000",HLOOKUP($X$4,Fancoils!$B$12:$S$21,8,FALSE),IF(J60="1200",HLOOKUP($X$4,Fancoils!$B$12:$S$21,9,FALSE),IF(J60="1400",HLOOKUP($X$4,Fancoils!$B$12:$S$21,10,FALSE))))))))))</f>
        <v>15.500000000000002</v>
      </c>
      <c r="Y60" s="33" t="s">
        <v>121</v>
      </c>
      <c r="Z60" s="84">
        <f t="shared" si="6"/>
        <v>1.2</v>
      </c>
      <c r="AA60" s="33">
        <f>REPORTE!M61</f>
        <v>401</v>
      </c>
    </row>
    <row r="61" spans="2:30" s="33" customFormat="1" outlineLevel="1" x14ac:dyDescent="0.25">
      <c r="B61" s="17">
        <v>2</v>
      </c>
      <c r="C61" s="34" t="str">
        <f>REPORTE!A62</f>
        <v xml:space="preserve">2P 60 BOX PSICOLOGO     </v>
      </c>
      <c r="D61" s="17" t="s">
        <v>496</v>
      </c>
      <c r="E61" s="17" t="s">
        <v>12</v>
      </c>
      <c r="F61" s="35">
        <f>REPORTE!B62</f>
        <v>1.8</v>
      </c>
      <c r="G61" s="35">
        <f>REPORTE!C62</f>
        <v>1.8</v>
      </c>
      <c r="H61" s="35">
        <f>REPORTE!J62</f>
        <v>1.6</v>
      </c>
      <c r="I61" s="35">
        <f>AA61*3.6</f>
        <v>633.6</v>
      </c>
      <c r="J61" s="35" t="str">
        <f t="shared" si="55"/>
        <v>300</v>
      </c>
      <c r="K61" s="17">
        <f>IF(J61="200",HLOOKUP($K$4,Fancoils!$B$12:$I$21,2,FALSE),IF(J61="300",HLOOKUP($K$4,Fancoils!$B$12:$I$21,3,FALSE),IF(J61="400",HLOOKUP($K$4,Fancoils!$B$12:$I$21,4,FALSE),IF(J61="500",HLOOKUP($K$4,Fancoils!$B$12:$I$21,5,FALSE),IF(J61="600",HLOOKUP($K$4,Fancoils!$B$12:$I$21,6,FALSE),IF(J61="800",HLOOKUP($K$4,Fancoils!$B$12:$I$21,7,FALSE),IF(J61="1000",HLOOKUP($K$4,Fancoils!$B$12:$I$21,8,FALSE),IF(J61="1200",HLOOKUP($K$4,Fancoils!$B$12:$I$21,9,FALSE),IF(J61="1400",HLOOKUP($K$4,Fancoils!$B$12:$I$21,10,FALSE))))))))))</f>
        <v>2.7</v>
      </c>
      <c r="L61" s="17">
        <f>IF(J61="200",HLOOKUP($L$4,Fancoils!$B$12:$I$21,2,FALSE),IF(J61="300",HLOOKUP($L$4,Fancoils!$B$12:$I$21,3,FALSE),IF(J61="400",HLOOKUP($L$4,Fancoils!$B$12:$I$21,4,FALSE),IF(J61="500",HLOOKUP($L$4,Fancoils!$B$12:$I$21,5,FALSE),IF(J61="600",HLOOKUP($L$4,Fancoils!$B$12:$I$21,6,FALSE),IF(J61="800",HLOOKUP($L$4,Fancoils!$B$12:$I$21,7,FALSE),IF(J61="1000",HLOOKUP($L$4,Fancoils!$B$12:$I$21,8,FALSE),IF(J61="1200",HLOOKUP($L$4,Fancoils!$B$12:$I$21,9,FALSE),IF(J61="1400",HLOOKUP($L$4,Fancoils!$B$12:$I$21,10,FALSE))))))))))</f>
        <v>1.86</v>
      </c>
      <c r="M61" s="17">
        <f>IF(J61="200",HLOOKUP($M$4,Fancoils!$B$12:$I$21,2,FALSE),IF(J61="300",HLOOKUP($M$4,Fancoils!$B$12:$I$21,3,FALSE),IF(J61="400",HLOOKUP($M$4,Fancoils!$B$12:$I$21,4,FALSE),IF(J61="500",HLOOKUP($M$4,Fancoils!$B$12:$I$21,5,FALSE),IF(J61="600",HLOOKUP($M$4,Fancoils!$B$12:$I$21,6,FALSE),IF(J61="800",HLOOKUP($M$4,Fancoils!$B$12:$I$21,7,FALSE),IF(J61="1000",HLOOKUP($M$4,Fancoils!$B$12:$I$21,8,FALSE),IF(J61="1200",HLOOKUP($M$4,Fancoils!$B$12:$I$21,9,FALSE),IF(J61="1400",HLOOKUP($M$4,Fancoils!$B$12:$I$21,10,FALSE))))))))))</f>
        <v>2.4</v>
      </c>
      <c r="N61" s="17">
        <f>IF(J61="200",HLOOKUP($N$4,Fancoils!$B$12:$I$21,2,FALSE),IF(J61="300",HLOOKUP($N$4,Fancoils!$B$12:$I$21,3,FALSE),IF(J61="400",HLOOKUP($N$4,Fancoils!$B$12:$I$21,4,FALSE),IF(J61="500",HLOOKUP($N$4,Fancoils!$B$12:$I$21,5,FALSE),IF(J61="600",HLOOKUP($N$4,Fancoils!$B$12:$I$21,6,FALSE),IF(J61="800",HLOOKUP($N$4,Fancoils!$B$12:$I$21,7,FALSE),IF(J61="1000",HLOOKUP($N$4,Fancoils!$B$12:$I$21,8,FALSE),IF(J61="1200",HLOOKUP($N$4,Fancoils!$B$12:$I$21,9,FALSE),IF(J61="1400",HLOOKUP($N$4,Fancoils!$B$12:$I$21,10,FALSE))))))))))</f>
        <v>510</v>
      </c>
      <c r="O61" s="36">
        <f>REPORTE!P62</f>
        <v>58</v>
      </c>
      <c r="P61" s="36">
        <f t="shared" ref="P61" si="60">O61*3.6</f>
        <v>208.8</v>
      </c>
      <c r="Q61" s="17">
        <f>IF(J61="200",HLOOKUP($Q$4,Fancoils!$B$12:$I$21,2,FALSE),IF(J61="300",HLOOKUP($Q$4,Fancoils!$B$12:$I$21,3,FALSE),IF(J61="400",HLOOKUP($Q$4,Fancoils!$B$12:$I$21,4,FALSE),IF(J61="500",HLOOKUP($Q$4,Fancoils!$B$12:$I$21,5,FALSE),IF(J61="600",HLOOKUP($Q$4,Fancoils!$B$12:$I$21,6,FALSE),IF(J61="800",HLOOKUP($Q$4,Fancoils!$B$12:$I$21,7,FALSE),IF(J61="1000",HLOOKUP($Q$4,Fancoils!$B$12:$I$21,8,FALSE),IF(J61="1200",HLOOKUP($Q$4,Fancoils!$B$12:$I$21,9,FALSE),IF(J61="1400",HLOOKUP($Q$4,Fancoils!$B$12:$I$21,10,FALSE))))))))))</f>
        <v>50</v>
      </c>
      <c r="R61" s="17" t="s">
        <v>50</v>
      </c>
      <c r="S61" s="17">
        <v>2</v>
      </c>
      <c r="T61" s="37">
        <f t="shared" ref="T61" si="61">N61/S61</f>
        <v>255</v>
      </c>
      <c r="U61" s="20">
        <f t="shared" ref="U61" si="62">N61-P61</f>
        <v>301.2</v>
      </c>
      <c r="V61" s="87">
        <f t="shared" si="5"/>
        <v>4.25</v>
      </c>
      <c r="W61" s="35">
        <f>IF(J61="200",HLOOKUP($W$4,Fancoils!$B$12:$S$21,2,FALSE),IF(J61="300",HLOOKUP($W$4,Fancoils!$B$12:$S$21,3,FALSE),IF(J61="400",HLOOKUP($W$4,Fancoils!$B$12:$S$21,4,FALSE),IF(J61="500",HLOOKUP($W$4,Fancoils!$B$12:$S$21,5,FALSE),IF(J61="600",HLOOKUP($W$4,Fancoils!$B$12:$S$21,6,FALSE),IF(J61="800",HLOOKUP($W$4,Fancoils!$B$12:$S$21,7,FALSE),IF(J61="1000",HLOOKUP($W$4,Fancoils!$B$12:$S$21,8,FALSE),IF(J61="1200",HLOOKUP($W$4,Fancoils!$B$12:$S$21,9,FALSE),IF(J61="1400",HLOOKUP($W$4,Fancoils!$B$12:$S$21,10,FALSE))))))))))</f>
        <v>7.7333333333333334</v>
      </c>
      <c r="X61" s="35">
        <f>IF(J61="200",HLOOKUP($X$4,Fancoils!$B$12:$S$21,2,FALSE),IF(J61="300",HLOOKUP($X$4,Fancoils!$B$12:$S$21,3,FALSE),IF(J61="400",HLOOKUP($X$4,Fancoils!$B$12:$S$21,4,FALSE),IF(J61="500",HLOOKUP($X$4,Fancoils!$B$12:$S$21,5,FALSE),IF(J61="600",HLOOKUP($X$4,Fancoils!$B$12:$S$21,6,FALSE),IF(J61="800",HLOOKUP($X$4,Fancoils!$B$12:$S$21,7,FALSE),IF(J61="1000",HLOOKUP($X$4,Fancoils!$B$12:$S$21,8,FALSE),IF(J61="1200",HLOOKUP($X$4,Fancoils!$B$12:$S$21,9,FALSE),IF(J61="1400",HLOOKUP($X$4,Fancoils!$B$12:$S$21,10,FALSE))))))))))</f>
        <v>5.666666666666667</v>
      </c>
      <c r="Y61" s="33" t="s">
        <v>357</v>
      </c>
      <c r="Z61" s="84">
        <f t="shared" si="6"/>
        <v>3.48</v>
      </c>
      <c r="AA61" s="33">
        <f>REPORTE!M62</f>
        <v>176</v>
      </c>
    </row>
    <row r="62" spans="2:30" s="33" customFormat="1" outlineLevel="1" x14ac:dyDescent="0.25">
      <c r="B62" s="17">
        <v>2</v>
      </c>
      <c r="C62" s="34" t="str">
        <f>REPORTE!A63</f>
        <v xml:space="preserve">2P 61 BOX CLINICO       </v>
      </c>
      <c r="D62" s="94" t="s">
        <v>497</v>
      </c>
      <c r="E62" s="17" t="s">
        <v>12</v>
      </c>
      <c r="F62" s="35">
        <f>REPORTE!B63</f>
        <v>5.5</v>
      </c>
      <c r="G62" s="35">
        <f>REPORTE!C63</f>
        <v>5.3</v>
      </c>
      <c r="H62" s="35">
        <f>REPORTE!J63</f>
        <v>3.6</v>
      </c>
      <c r="I62" s="35">
        <f>AA62*3.6</f>
        <v>1904.4</v>
      </c>
      <c r="J62" s="35" t="str">
        <f t="shared" ref="J62" si="63">+IF(G62&lt;1.38,"200",IF(AND(1.39&lt;G62,G62&lt;1.86),"300",IF(AND(1.87&lt;G62,G62&lt;2.48),"400",IF(AND(2.49&lt;G62,G62&lt;2.96),"500",IF(AND(2.97&lt;G62,G62&lt;3.44),"600",IF(AND(3.45&lt;G62,G62&lt;4.68),"800",IF(AND(4.69&lt;G62,G62&lt;5.37),"1000",IF(AND(5.38&lt;G62,G62&lt;7.02),"1200",IF(AND(7.1&lt;G62,G62&gt;7.92),"1400",)))))))))</f>
        <v>1000</v>
      </c>
      <c r="K62" s="17">
        <f>IF(J62="200",HLOOKUP($K$4,Fancoils!$B$12:$I$21,2,FALSE),IF(J62="300",HLOOKUP($K$4,Fancoils!$B$12:$I$21,3,FALSE),IF(J62="400",HLOOKUP($K$4,Fancoils!$B$12:$I$21,4,FALSE),IF(J62="500",HLOOKUP($K$4,Fancoils!$B$12:$I$21,5,FALSE),IF(J62="600",HLOOKUP($K$4,Fancoils!$B$12:$I$21,6,FALSE),IF(J62="800",HLOOKUP($K$4,Fancoils!$B$12:$I$21,7,FALSE),IF(J62="1000",HLOOKUP($K$4,Fancoils!$B$12:$I$21,8,FALSE),IF(J62="1200",HLOOKUP($K$4,Fancoils!$B$12:$I$21,9,FALSE),IF(J62="1400",HLOOKUP($K$4,Fancoils!$B$12:$I$21,10,FALSE))))))))))</f>
        <v>7.8</v>
      </c>
      <c r="L62" s="17">
        <f>IF(J62="200",HLOOKUP($L$4,Fancoils!$B$12:$I$21,2,FALSE),IF(J62="300",HLOOKUP($L$4,Fancoils!$B$12:$I$21,3,FALSE),IF(J62="400",HLOOKUP($L$4,Fancoils!$B$12:$I$21,4,FALSE),IF(J62="500",HLOOKUP($L$4,Fancoils!$B$12:$I$21,5,FALSE),IF(J62="600",HLOOKUP($L$4,Fancoils!$B$12:$I$21,6,FALSE),IF(J62="800",HLOOKUP($L$4,Fancoils!$B$12:$I$21,7,FALSE),IF(J62="1000",HLOOKUP($L$4,Fancoils!$B$12:$I$21,8,FALSE),IF(J62="1200",HLOOKUP($L$4,Fancoils!$B$12:$I$21,9,FALSE),IF(J62="1400",HLOOKUP($L$4,Fancoils!$B$12:$I$21,10,FALSE))))))))))</f>
        <v>5.37</v>
      </c>
      <c r="M62" s="17">
        <f>IF(J62="200",HLOOKUP($M$4,Fancoils!$B$12:$I$21,2,FALSE),IF(J62="300",HLOOKUP($M$4,Fancoils!$B$12:$I$21,3,FALSE),IF(J62="400",HLOOKUP($M$4,Fancoils!$B$12:$I$21,4,FALSE),IF(J62="500",HLOOKUP($M$4,Fancoils!$B$12:$I$21,5,FALSE),IF(J62="600",HLOOKUP($M$4,Fancoils!$B$12:$I$21,6,FALSE),IF(J62="800",HLOOKUP($M$4,Fancoils!$B$12:$I$21,7,FALSE),IF(J62="1000",HLOOKUP($M$4,Fancoils!$B$12:$I$21,8,FALSE),IF(J62="1200",HLOOKUP($M$4,Fancoils!$B$12:$I$21,9,FALSE),IF(J62="1400",HLOOKUP($M$4,Fancoils!$B$12:$I$21,10,FALSE))))))))))</f>
        <v>6.48</v>
      </c>
      <c r="N62" s="17">
        <f>IF(J62="200",HLOOKUP($N$4,Fancoils!$B$12:$I$21,2,FALSE),IF(J62="300",HLOOKUP($N$4,Fancoils!$B$12:$I$21,3,FALSE),IF(J62="400",HLOOKUP($N$4,Fancoils!$B$12:$I$21,4,FALSE),IF(J62="500",HLOOKUP($N$4,Fancoils!$B$12:$I$21,5,FALSE),IF(J62="600",HLOOKUP($N$4,Fancoils!$B$12:$I$21,6,FALSE),IF(J62="800",HLOOKUP($N$4,Fancoils!$B$12:$I$21,7,FALSE),IF(J62="1000",HLOOKUP($N$4,Fancoils!$B$12:$I$21,8,FALSE),IF(J62="1200",HLOOKUP($N$4,Fancoils!$B$12:$I$21,9,FALSE),IF(J62="1400",HLOOKUP($N$4,Fancoils!$B$12:$I$21,10,FALSE))))))))))</f>
        <v>1700</v>
      </c>
      <c r="O62" s="36">
        <f>REPORTE!P63</f>
        <v>116</v>
      </c>
      <c r="P62" s="36">
        <f t="shared" ref="P62" si="64">O62*3.6</f>
        <v>417.6</v>
      </c>
      <c r="Q62" s="17">
        <f>IF(J62="200",HLOOKUP($Q$4,Fancoils!$B$12:$I$21,2,FALSE),IF(J62="300",HLOOKUP($Q$4,Fancoils!$B$12:$I$21,3,FALSE),IF(J62="400",HLOOKUP($Q$4,Fancoils!$B$12:$I$21,4,FALSE),IF(J62="500",HLOOKUP($Q$4,Fancoils!$B$12:$I$21,5,FALSE),IF(J62="600",HLOOKUP($Q$4,Fancoils!$B$12:$I$21,6,FALSE),IF(J62="800",HLOOKUP($Q$4,Fancoils!$B$12:$I$21,7,FALSE),IF(J62="1000",HLOOKUP($Q$4,Fancoils!$B$12:$I$21,8,FALSE),IF(J62="1200",HLOOKUP($Q$4,Fancoils!$B$12:$I$21,9,FALSE),IF(J62="1400",HLOOKUP($Q$4,Fancoils!$B$12:$I$21,10,FALSE))))))))))</f>
        <v>200</v>
      </c>
      <c r="R62" s="17" t="s">
        <v>50</v>
      </c>
      <c r="S62" s="17">
        <v>4</v>
      </c>
      <c r="T62" s="37">
        <f t="shared" ref="T62" si="65">N62/S62</f>
        <v>425</v>
      </c>
      <c r="U62" s="20">
        <f t="shared" ref="U62" si="66">N62-P62</f>
        <v>1282.4000000000001</v>
      </c>
      <c r="V62" s="87">
        <f t="shared" si="5"/>
        <v>7.083333333333333</v>
      </c>
      <c r="W62" s="35">
        <f>IF(J62="200",HLOOKUP($W$4,Fancoils!$B$12:$S$21,2,FALSE),IF(J62="300",HLOOKUP($W$4,Fancoils!$B$12:$S$21,3,FALSE),IF(J62="400",HLOOKUP($W$4,Fancoils!$B$12:$S$21,4,FALSE),IF(J62="500",HLOOKUP($W$4,Fancoils!$B$12:$S$21,5,FALSE),IF(J62="600",HLOOKUP($W$4,Fancoils!$B$12:$S$21,6,FALSE),IF(J62="800",HLOOKUP($W$4,Fancoils!$B$12:$S$21,7,FALSE),IF(J62="1000",HLOOKUP($W$4,Fancoils!$B$12:$S$21,8,FALSE),IF(J62="1200",HLOOKUP($W$4,Fancoils!$B$12:$S$21,9,FALSE),IF(J62="1400",HLOOKUP($W$4,Fancoils!$B$12:$S$21,10,FALSE))))))))))</f>
        <v>22.366666666666667</v>
      </c>
      <c r="X62" s="35">
        <f>IF(J62="200",HLOOKUP($X$4,Fancoils!$B$12:$S$21,2,FALSE),IF(J62="300",HLOOKUP($X$4,Fancoils!$B$12:$S$21,3,FALSE),IF(J62="400",HLOOKUP($X$4,Fancoils!$B$12:$S$21,4,FALSE),IF(J62="500",HLOOKUP($X$4,Fancoils!$B$12:$S$21,5,FALSE),IF(J62="600",HLOOKUP($X$4,Fancoils!$B$12:$S$21,6,FALSE),IF(J62="800",HLOOKUP($X$4,Fancoils!$B$12:$S$21,7,FALSE),IF(J62="1000",HLOOKUP($X$4,Fancoils!$B$12:$S$21,8,FALSE),IF(J62="1200",HLOOKUP($X$4,Fancoils!$B$12:$S$21,9,FALSE),IF(J62="1400",HLOOKUP($X$4,Fancoils!$B$12:$S$21,10,FALSE))))))))))</f>
        <v>15.500000000000002</v>
      </c>
      <c r="Y62" s="33" t="s">
        <v>121</v>
      </c>
      <c r="Z62" s="84">
        <f t="shared" si="6"/>
        <v>6.96</v>
      </c>
      <c r="AA62" s="33">
        <f>REPORTE!M63</f>
        <v>529</v>
      </c>
    </row>
    <row r="63" spans="2:30" s="33" customFormat="1" outlineLevel="1" x14ac:dyDescent="0.25">
      <c r="B63" s="17">
        <v>2</v>
      </c>
      <c r="C63" s="34" t="str">
        <f>REPORTE!A64</f>
        <v xml:space="preserve">2P 62 BOX CLINICO       </v>
      </c>
      <c r="D63" s="95"/>
      <c r="E63" s="17"/>
      <c r="F63" s="35"/>
      <c r="G63" s="35"/>
      <c r="H63" s="35"/>
      <c r="I63" s="35"/>
      <c r="J63" s="35"/>
      <c r="K63" s="17"/>
      <c r="L63" s="17"/>
      <c r="M63" s="17"/>
      <c r="N63" s="17"/>
      <c r="O63" s="36"/>
      <c r="P63" s="36"/>
      <c r="Q63" s="17"/>
      <c r="R63" s="17"/>
      <c r="S63" s="17"/>
      <c r="T63" s="37"/>
      <c r="U63" s="20"/>
      <c r="V63" s="87">
        <f t="shared" si="5"/>
        <v>0</v>
      </c>
      <c r="W63" s="35"/>
      <c r="X63" s="35"/>
      <c r="Z63" s="84"/>
      <c r="AA63" s="33">
        <f>REPORTE!M64</f>
        <v>0</v>
      </c>
    </row>
    <row r="64" spans="2:30" outlineLevel="1" x14ac:dyDescent="0.25">
      <c r="B64" s="10">
        <v>3</v>
      </c>
      <c r="C64" s="11" t="str">
        <f>REPORTE!A65</f>
        <v xml:space="preserve">3P 63 BOX CLINICO       </v>
      </c>
      <c r="D64" s="96" t="s">
        <v>498</v>
      </c>
      <c r="E64" s="10" t="s">
        <v>12</v>
      </c>
      <c r="F64" s="12">
        <f>REPORTE!B65</f>
        <v>7.5</v>
      </c>
      <c r="G64" s="12">
        <f>REPORTE!C65</f>
        <v>7.2</v>
      </c>
      <c r="H64" s="12">
        <f>REPORTE!J65</f>
        <v>3.7</v>
      </c>
      <c r="I64" s="12">
        <f>AA64*3.6</f>
        <v>2318.4</v>
      </c>
      <c r="J64" s="12" t="str">
        <f>+IF(G64&lt;1.38,"200",IF(AND(1.39&lt;G64,G64&lt;1.86),"300",IF(AND(1.87&lt;G64,G64&lt;2.48),"400",IF(AND(2.49&lt;G64,G64&lt;2.96),"500",IF(AND(2.97&lt;G64,G64&lt;3.44),"600",IF(AND(3.45&lt;G64,G64&lt;4.68),"800",IF(AND(4.69&lt;G64,G64&lt;5.37),"1000",IF(AND(5.38&lt;G64,G64&lt;7.02),"1200",IF(AND(7.1&lt;G64,G64&lt;7.92),"1400",)))))))))</f>
        <v>1400</v>
      </c>
      <c r="K64" s="10">
        <f>IF(J64="200",HLOOKUP($K$4,Fancoils!$B$12:$I$21,2,FALSE),IF(J64="300",HLOOKUP($K$4,Fancoils!$B$12:$I$21,3,FALSE),IF(J64="400",HLOOKUP($K$4,Fancoils!$B$12:$I$21,4,FALSE),IF(J64="500",HLOOKUP($K$4,Fancoils!$B$12:$I$21,5,FALSE),IF(J64="600",HLOOKUP($K$4,Fancoils!$B$12:$I$21,6,FALSE),IF(J64="800",HLOOKUP($K$4,Fancoils!$B$12:$I$21,7,FALSE),IF(J64="1000",HLOOKUP($K$4,Fancoils!$B$12:$I$21,8,FALSE),IF(J64="1200",HLOOKUP($K$4,Fancoils!$B$12:$I$21,9,FALSE),IF(J64="1400",HLOOKUP($K$4,Fancoils!$B$12:$I$21,10,FALSE))))))))))</f>
        <v>11.5</v>
      </c>
      <c r="L64" s="10">
        <f>IF(J64="200",HLOOKUP($L$4,Fancoils!$B$12:$I$21,2,FALSE),IF(J64="300",HLOOKUP($L$4,Fancoils!$B$12:$I$21,3,FALSE),IF(J64="400",HLOOKUP($L$4,Fancoils!$B$12:$I$21,4,FALSE),IF(J64="500",HLOOKUP($L$4,Fancoils!$B$12:$I$21,5,FALSE),IF(J64="600",HLOOKUP($L$4,Fancoils!$B$12:$I$21,6,FALSE),IF(J64="800",HLOOKUP($L$4,Fancoils!$B$12:$I$21,7,FALSE),IF(J64="1000",HLOOKUP($L$4,Fancoils!$B$12:$I$21,8,FALSE),IF(J64="1200",HLOOKUP($L$4,Fancoils!$B$12:$I$21,9,FALSE),IF(J64="1400",HLOOKUP($L$4,Fancoils!$B$12:$I$21,10,FALSE))))))))))</f>
        <v>7.92</v>
      </c>
      <c r="M64" s="10">
        <f>IF(J64="200",HLOOKUP($M$4,Fancoils!$B$12:$I$21,2,FALSE),IF(J64="300",HLOOKUP($M$4,Fancoils!$B$12:$I$21,3,FALSE),IF(J64="400",HLOOKUP($M$4,Fancoils!$B$12:$I$21,4,FALSE),IF(J64="500",HLOOKUP($M$4,Fancoils!$B$12:$I$21,5,FALSE),IF(J64="600",HLOOKUP($M$4,Fancoils!$B$12:$I$21,6,FALSE),IF(J64="800",HLOOKUP($M$4,Fancoils!$B$12:$I$21,7,FALSE),IF(J64="1000",HLOOKUP($M$4,Fancoils!$B$12:$I$21,8,FALSE),IF(J64="1200",HLOOKUP($M$4,Fancoils!$B$12:$I$21,9,FALSE),IF(J64="1400",HLOOKUP($M$4,Fancoils!$B$12:$I$21,10,FALSE))))))))))</f>
        <v>9.3000000000000007</v>
      </c>
      <c r="N64" s="10">
        <f>IF(J64="200",HLOOKUP($N$4,Fancoils!$B$12:$I$21,2,FALSE),IF(J64="300",HLOOKUP($N$4,Fancoils!$B$12:$I$21,3,FALSE),IF(J64="400",HLOOKUP($N$4,Fancoils!$B$12:$I$21,4,FALSE),IF(J64="500",HLOOKUP($N$4,Fancoils!$B$12:$I$21,5,FALSE),IF(J64="600",HLOOKUP($N$4,Fancoils!$B$12:$I$21,6,FALSE),IF(J64="800",HLOOKUP($N$4,Fancoils!$B$12:$I$21,7,FALSE),IF(J64="1000",HLOOKUP($N$4,Fancoils!$B$12:$I$21,8,FALSE),IF(J64="1200",HLOOKUP($N$4,Fancoils!$B$12:$I$21,9,FALSE),IF(J64="1400",HLOOKUP($N$4,Fancoils!$B$12:$I$21,10,FALSE))))))))))</f>
        <v>2380</v>
      </c>
      <c r="O64" s="36">
        <f>REPORTE!P65</f>
        <v>117</v>
      </c>
      <c r="P64" s="14">
        <f t="shared" ref="P64" si="67">O64*3.6</f>
        <v>421.2</v>
      </c>
      <c r="Q64" s="10">
        <f>IF(J64="200",HLOOKUP($Q$4,Fancoils!$B$12:$I$21,2,FALSE),IF(J64="300",HLOOKUP($Q$4,Fancoils!$B$12:$I$21,3,FALSE),IF(J64="400",HLOOKUP($Q$4,Fancoils!$B$12:$I$21,4,FALSE),IF(J64="500",HLOOKUP($Q$4,Fancoils!$B$12:$I$21,5,FALSE),IF(J64="600",HLOOKUP($Q$4,Fancoils!$B$12:$I$21,6,FALSE),IF(J64="800",HLOOKUP($Q$4,Fancoils!$B$12:$I$21,7,FALSE),IF(J64="1000",HLOOKUP($Q$4,Fancoils!$B$12:$I$21,8,FALSE),IF(J64="1200",HLOOKUP($Q$4,Fancoils!$B$12:$I$21,9,FALSE),IF(J64="1400",HLOOKUP($Q$4,Fancoils!$B$12:$I$21,10,FALSE))))))))))</f>
        <v>240</v>
      </c>
      <c r="R64" s="10" t="s">
        <v>50</v>
      </c>
      <c r="S64" s="10">
        <v>6</v>
      </c>
      <c r="T64" s="72">
        <f t="shared" ref="T64" si="68">N64/S64</f>
        <v>396.66666666666669</v>
      </c>
      <c r="U64" s="13">
        <f t="shared" ref="U64" si="69">N64-P64</f>
        <v>1958.8</v>
      </c>
      <c r="V64" s="59">
        <f t="shared" si="5"/>
        <v>6.6111111111111116</v>
      </c>
      <c r="W64" s="12">
        <f>IF(J64="200",HLOOKUP($W$4,Fancoils!$B$12:$S$21,2,FALSE),IF(J64="300",HLOOKUP($W$4,Fancoils!$B$12:$S$21,3,FALSE),IF(J64="400",HLOOKUP($W$4,Fancoils!$B$12:$S$21,4,FALSE),IF(J64="500",HLOOKUP($W$4,Fancoils!$B$12:$S$21,5,FALSE),IF(J64="600",HLOOKUP($W$4,Fancoils!$B$12:$S$21,6,FALSE),IF(J64="800",HLOOKUP($W$4,Fancoils!$B$12:$S$21,7,FALSE),IF(J64="1000",HLOOKUP($W$4,Fancoils!$B$12:$S$21,8,FALSE),IF(J64="1200",HLOOKUP($W$4,Fancoils!$B$12:$S$21,9,FALSE),IF(J64="1400",HLOOKUP($W$4,Fancoils!$B$12:$S$21,10,FALSE))))))))))</f>
        <v>32.966666666666669</v>
      </c>
      <c r="X64" s="12">
        <f>IF(J64="200",HLOOKUP($X$4,Fancoils!$B$12:$S$21,2,FALSE),IF(J64="300",HLOOKUP($X$4,Fancoils!$B$12:$S$21,3,FALSE),IF(J64="400",HLOOKUP($X$4,Fancoils!$B$12:$S$21,4,FALSE),IF(J64="500",HLOOKUP($X$4,Fancoils!$B$12:$S$21,5,FALSE),IF(J64="600",HLOOKUP($X$4,Fancoils!$B$12:$S$21,6,FALSE),IF(J64="800",HLOOKUP($X$4,Fancoils!$B$12:$S$21,7,FALSE),IF(J64="1000",HLOOKUP($X$4,Fancoils!$B$12:$S$21,8,FALSE),IF(J64="1200",HLOOKUP($X$4,Fancoils!$B$12:$S$21,9,FALSE),IF(J64="1400",HLOOKUP($X$4,Fancoils!$B$12:$S$21,10,FALSE))))))))))</f>
        <v>22.166666666666668</v>
      </c>
      <c r="Y64" t="s">
        <v>121</v>
      </c>
      <c r="Z64" s="2">
        <f t="shared" si="6"/>
        <v>7.02</v>
      </c>
      <c r="AA64">
        <f>REPORTE!M65</f>
        <v>644</v>
      </c>
      <c r="AB64">
        <f>SUM(Z64:Z75)</f>
        <v>90</v>
      </c>
      <c r="AC64" t="s">
        <v>113</v>
      </c>
    </row>
    <row r="65" spans="1:30" outlineLevel="1" x14ac:dyDescent="0.25">
      <c r="B65" s="10">
        <v>3</v>
      </c>
      <c r="C65" s="11" t="str">
        <f>REPORTE!A66</f>
        <v xml:space="preserve">3P 64 BOX CLINICO       </v>
      </c>
      <c r="D65" s="97"/>
      <c r="E65" s="10"/>
      <c r="F65" s="12"/>
      <c r="G65" s="12"/>
      <c r="H65" s="12"/>
      <c r="I65" s="12"/>
      <c r="J65" s="12"/>
      <c r="K65" s="10"/>
      <c r="L65" s="10"/>
      <c r="M65" s="10"/>
      <c r="N65" s="10"/>
      <c r="O65" s="36"/>
      <c r="P65" s="14"/>
      <c r="Q65" s="10"/>
      <c r="R65" s="10"/>
      <c r="S65" s="10"/>
      <c r="T65" s="22"/>
      <c r="U65" s="13"/>
      <c r="V65" s="59">
        <f t="shared" si="5"/>
        <v>0</v>
      </c>
      <c r="W65" s="12"/>
      <c r="X65" s="12"/>
      <c r="Z65" s="2"/>
      <c r="AA65">
        <f>REPORTE!M66</f>
        <v>0</v>
      </c>
    </row>
    <row r="66" spans="1:30" outlineLevel="1" x14ac:dyDescent="0.25">
      <c r="B66" s="10">
        <v>3</v>
      </c>
      <c r="C66" s="11" t="str">
        <f>REPORTE!A67</f>
        <v xml:space="preserve">3P 65 BOX CLINICO       </v>
      </c>
      <c r="D66" s="96" t="s">
        <v>499</v>
      </c>
      <c r="E66" s="10" t="s">
        <v>12</v>
      </c>
      <c r="F66" s="12">
        <f>REPORTE!B67</f>
        <v>4.8</v>
      </c>
      <c r="G66" s="12">
        <f>REPORTE!C67</f>
        <v>4.7</v>
      </c>
      <c r="H66" s="12">
        <f>REPORTE!J67</f>
        <v>3.4</v>
      </c>
      <c r="I66" s="12">
        <f>AA66*3.6</f>
        <v>1580.4</v>
      </c>
      <c r="J66" s="12" t="str">
        <f t="shared" ref="J66" si="70">+IF(G66&lt;1.38,"200",IF(AND(1.39&lt;G66,G66&lt;1.86),"300",IF(AND(1.87&lt;G66,G66&lt;2.48),"400",IF(AND(2.49&lt;G66,G66&lt;2.96),"500",IF(AND(2.97&lt;G66,G66&lt;3.44),"600",IF(AND(3.45&lt;G66,G66&lt;4.68),"800",IF(AND(4.69&lt;G66,G66&lt;5.37),"1000",IF(AND(5.38&lt;G66,G66&lt;7.02),"1200",IF(AND(7.1&lt;G66,G66&gt;7.92),"1400",)))))))))</f>
        <v>1000</v>
      </c>
      <c r="K66" s="10">
        <f>IF(J66="200",HLOOKUP($K$4,Fancoils!$B$12:$I$21,2,FALSE),IF(J66="300",HLOOKUP($K$4,Fancoils!$B$12:$I$21,3,FALSE),IF(J66="400",HLOOKUP($K$4,Fancoils!$B$12:$I$21,4,FALSE),IF(J66="500",HLOOKUP($K$4,Fancoils!$B$12:$I$21,5,FALSE),IF(J66="600",HLOOKUP($K$4,Fancoils!$B$12:$I$21,6,FALSE),IF(J66="800",HLOOKUP($K$4,Fancoils!$B$12:$I$21,7,FALSE),IF(J66="1000",HLOOKUP($K$4,Fancoils!$B$12:$I$21,8,FALSE),IF(J66="1200",HLOOKUP($K$4,Fancoils!$B$12:$I$21,9,FALSE),IF(J66="1400",HLOOKUP($K$4,Fancoils!$B$12:$I$21,10,FALSE))))))))))</f>
        <v>7.8</v>
      </c>
      <c r="L66" s="10">
        <f>IF(J66="200",HLOOKUP($L$4,Fancoils!$B$12:$I$21,2,FALSE),IF(J66="300",HLOOKUP($L$4,Fancoils!$B$12:$I$21,3,FALSE),IF(J66="400",HLOOKUP($L$4,Fancoils!$B$12:$I$21,4,FALSE),IF(J66="500",HLOOKUP($L$4,Fancoils!$B$12:$I$21,5,FALSE),IF(J66="600",HLOOKUP($L$4,Fancoils!$B$12:$I$21,6,FALSE),IF(J66="800",HLOOKUP($L$4,Fancoils!$B$12:$I$21,7,FALSE),IF(J66="1000",HLOOKUP($L$4,Fancoils!$B$12:$I$21,8,FALSE),IF(J66="1200",HLOOKUP($L$4,Fancoils!$B$12:$I$21,9,FALSE),IF(J66="1400",HLOOKUP($L$4,Fancoils!$B$12:$I$21,10,FALSE))))))))))</f>
        <v>5.37</v>
      </c>
      <c r="M66" s="10">
        <f>IF(J66="200",HLOOKUP($M$4,Fancoils!$B$12:$I$21,2,FALSE),IF(J66="300",HLOOKUP($M$4,Fancoils!$B$12:$I$21,3,FALSE),IF(J66="400",HLOOKUP($M$4,Fancoils!$B$12:$I$21,4,FALSE),IF(J66="500",HLOOKUP($M$4,Fancoils!$B$12:$I$21,5,FALSE),IF(J66="600",HLOOKUP($M$4,Fancoils!$B$12:$I$21,6,FALSE),IF(J66="800",HLOOKUP($M$4,Fancoils!$B$12:$I$21,7,FALSE),IF(J66="1000",HLOOKUP($M$4,Fancoils!$B$12:$I$21,8,FALSE),IF(J66="1200",HLOOKUP($M$4,Fancoils!$B$12:$I$21,9,FALSE),IF(J66="1400",HLOOKUP($M$4,Fancoils!$B$12:$I$21,10,FALSE))))))))))</f>
        <v>6.48</v>
      </c>
      <c r="N66" s="10">
        <f>IF(J66="200",HLOOKUP($N$4,Fancoils!$B$12:$I$21,2,FALSE),IF(J66="300",HLOOKUP($N$4,Fancoils!$B$12:$I$21,3,FALSE),IF(J66="400",HLOOKUP($N$4,Fancoils!$B$12:$I$21,4,FALSE),IF(J66="500",HLOOKUP($N$4,Fancoils!$B$12:$I$21,5,FALSE),IF(J66="600",HLOOKUP($N$4,Fancoils!$B$12:$I$21,6,FALSE),IF(J66="800",HLOOKUP($N$4,Fancoils!$B$12:$I$21,7,FALSE),IF(J66="1000",HLOOKUP($N$4,Fancoils!$B$12:$I$21,8,FALSE),IF(J66="1200",HLOOKUP($N$4,Fancoils!$B$12:$I$21,9,FALSE),IF(J66="1400",HLOOKUP($N$4,Fancoils!$B$12:$I$21,10,FALSE))))))))))</f>
        <v>1700</v>
      </c>
      <c r="O66" s="36">
        <f>REPORTE!P67</f>
        <v>118</v>
      </c>
      <c r="P66" s="14">
        <f t="shared" ref="P66" si="71">O66*3.6</f>
        <v>424.8</v>
      </c>
      <c r="Q66" s="10">
        <f>IF(J66="200",HLOOKUP($Q$4,Fancoils!$B$12:$I$21,2,FALSE),IF(J66="300",HLOOKUP($Q$4,Fancoils!$B$12:$I$21,3,FALSE),IF(J66="400",HLOOKUP($Q$4,Fancoils!$B$12:$I$21,4,FALSE),IF(J66="500",HLOOKUP($Q$4,Fancoils!$B$12:$I$21,5,FALSE),IF(J66="600",HLOOKUP($Q$4,Fancoils!$B$12:$I$21,6,FALSE),IF(J66="800",HLOOKUP($Q$4,Fancoils!$B$12:$I$21,7,FALSE),IF(J66="1000",HLOOKUP($Q$4,Fancoils!$B$12:$I$21,8,FALSE),IF(J66="1200",HLOOKUP($Q$4,Fancoils!$B$12:$I$21,9,FALSE),IF(J66="1400",HLOOKUP($Q$4,Fancoils!$B$12:$I$21,10,FALSE))))))))))</f>
        <v>200</v>
      </c>
      <c r="R66" s="10" t="s">
        <v>50</v>
      </c>
      <c r="S66" s="10">
        <v>4</v>
      </c>
      <c r="T66" s="22">
        <f t="shared" ref="T66" si="72">N66/S66</f>
        <v>425</v>
      </c>
      <c r="U66" s="13">
        <f t="shared" ref="U66" si="73">N66-P66</f>
        <v>1275.2</v>
      </c>
      <c r="V66" s="59">
        <f t="shared" si="5"/>
        <v>7.083333333333333</v>
      </c>
      <c r="W66" s="12">
        <f>IF(J66="200",HLOOKUP($W$4,Fancoils!$B$12:$S$21,2,FALSE),IF(J66="300",HLOOKUP($W$4,Fancoils!$B$12:$S$21,3,FALSE),IF(J66="400",HLOOKUP($W$4,Fancoils!$B$12:$S$21,4,FALSE),IF(J66="500",HLOOKUP($W$4,Fancoils!$B$12:$S$21,5,FALSE),IF(J66="600",HLOOKUP($W$4,Fancoils!$B$12:$S$21,6,FALSE),IF(J66="800",HLOOKUP($W$4,Fancoils!$B$12:$S$21,7,FALSE),IF(J66="1000",HLOOKUP($W$4,Fancoils!$B$12:$S$21,8,FALSE),IF(J66="1200",HLOOKUP($W$4,Fancoils!$B$12:$S$21,9,FALSE),IF(J66="1400",HLOOKUP($W$4,Fancoils!$B$12:$S$21,10,FALSE))))))))))</f>
        <v>22.366666666666667</v>
      </c>
      <c r="X66" s="12">
        <f>IF(J66="200",HLOOKUP($X$4,Fancoils!$B$12:$S$21,2,FALSE),IF(J66="300",HLOOKUP($X$4,Fancoils!$B$12:$S$21,3,FALSE),IF(J66="400",HLOOKUP($X$4,Fancoils!$B$12:$S$21,4,FALSE),IF(J66="500",HLOOKUP($X$4,Fancoils!$B$12:$S$21,5,FALSE),IF(J66="600",HLOOKUP($X$4,Fancoils!$B$12:$S$21,6,FALSE),IF(J66="800",HLOOKUP($X$4,Fancoils!$B$12:$S$21,7,FALSE),IF(J66="1000",HLOOKUP($X$4,Fancoils!$B$12:$S$21,8,FALSE),IF(J66="1200",HLOOKUP($X$4,Fancoils!$B$12:$S$21,9,FALSE),IF(J66="1400",HLOOKUP($X$4,Fancoils!$B$12:$S$21,10,FALSE))))))))))</f>
        <v>15.500000000000002</v>
      </c>
      <c r="Y66" t="s">
        <v>121</v>
      </c>
      <c r="Z66" s="2">
        <f t="shared" si="6"/>
        <v>7.08</v>
      </c>
      <c r="AA66">
        <f>REPORTE!M67</f>
        <v>439</v>
      </c>
    </row>
    <row r="67" spans="1:30" outlineLevel="1" x14ac:dyDescent="0.25">
      <c r="B67" s="10">
        <v>3</v>
      </c>
      <c r="C67" s="11" t="str">
        <f>REPORTE!A68</f>
        <v xml:space="preserve">3P 66 BOX CLINICO       </v>
      </c>
      <c r="D67" s="97"/>
      <c r="E67" s="10"/>
      <c r="F67" s="12"/>
      <c r="G67" s="12"/>
      <c r="H67" s="12"/>
      <c r="I67" s="12"/>
      <c r="J67" s="12"/>
      <c r="K67" s="10"/>
      <c r="L67" s="10"/>
      <c r="M67" s="10"/>
      <c r="N67" s="10"/>
      <c r="O67" s="36"/>
      <c r="P67" s="14"/>
      <c r="Q67" s="10"/>
      <c r="R67" s="10"/>
      <c r="S67" s="10"/>
      <c r="T67" s="22"/>
      <c r="U67" s="13"/>
      <c r="V67" s="59">
        <f t="shared" si="5"/>
        <v>0</v>
      </c>
      <c r="W67" s="12"/>
      <c r="X67" s="12"/>
      <c r="Z67" s="2"/>
      <c r="AA67">
        <f>REPORTE!M68</f>
        <v>0</v>
      </c>
    </row>
    <row r="68" spans="1:30" outlineLevel="1" x14ac:dyDescent="0.25">
      <c r="B68" s="10">
        <v>3</v>
      </c>
      <c r="C68" s="11" t="str">
        <f>REPORTE!A69</f>
        <v xml:space="preserve">3P 67 BOX CLINICO       </v>
      </c>
      <c r="D68" s="96" t="s">
        <v>500</v>
      </c>
      <c r="E68" s="10" t="s">
        <v>12</v>
      </c>
      <c r="F68" s="12">
        <f>REPORTE!B69</f>
        <v>5</v>
      </c>
      <c r="G68" s="12">
        <f>REPORTE!C69</f>
        <v>4.8</v>
      </c>
      <c r="H68" s="12">
        <f>REPORTE!J69</f>
        <v>3.3</v>
      </c>
      <c r="I68" s="12">
        <f>AA68*3.6</f>
        <v>1576.8</v>
      </c>
      <c r="J68" s="12" t="str">
        <f t="shared" ref="J68" si="74">+IF(G68&lt;1.38,"200",IF(AND(1.39&lt;G68,G68&lt;1.86),"300",IF(AND(1.87&lt;G68,G68&lt;2.48),"400",IF(AND(2.49&lt;G68,G68&lt;2.96),"500",IF(AND(2.97&lt;G68,G68&lt;3.44),"600",IF(AND(3.45&lt;G68,G68&lt;4.68),"800",IF(AND(4.69&lt;G68,G68&lt;5.37),"1000",IF(AND(5.38&lt;G68,G68&lt;7.02),"1200",IF(AND(7.1&lt;G68,G68&gt;7.92),"1400",)))))))))</f>
        <v>1000</v>
      </c>
      <c r="K68" s="10">
        <f>IF(J68="200",HLOOKUP($K$4,Fancoils!$B$12:$I$21,2,FALSE),IF(J68="300",HLOOKUP($K$4,Fancoils!$B$12:$I$21,3,FALSE),IF(J68="400",HLOOKUP($K$4,Fancoils!$B$12:$I$21,4,FALSE),IF(J68="500",HLOOKUP($K$4,Fancoils!$B$12:$I$21,5,FALSE),IF(J68="600",HLOOKUP($K$4,Fancoils!$B$12:$I$21,6,FALSE),IF(J68="800",HLOOKUP($K$4,Fancoils!$B$12:$I$21,7,FALSE),IF(J68="1000",HLOOKUP($K$4,Fancoils!$B$12:$I$21,8,FALSE),IF(J68="1200",HLOOKUP($K$4,Fancoils!$B$12:$I$21,9,FALSE),IF(J68="1400",HLOOKUP($K$4,Fancoils!$B$12:$I$21,10,FALSE))))))))))</f>
        <v>7.8</v>
      </c>
      <c r="L68" s="10">
        <f>IF(J68="200",HLOOKUP($L$4,Fancoils!$B$12:$I$21,2,FALSE),IF(J68="300",HLOOKUP($L$4,Fancoils!$B$12:$I$21,3,FALSE),IF(J68="400",HLOOKUP($L$4,Fancoils!$B$12:$I$21,4,FALSE),IF(J68="500",HLOOKUP($L$4,Fancoils!$B$12:$I$21,5,FALSE),IF(J68="600",HLOOKUP($L$4,Fancoils!$B$12:$I$21,6,FALSE),IF(J68="800",HLOOKUP($L$4,Fancoils!$B$12:$I$21,7,FALSE),IF(J68="1000",HLOOKUP($L$4,Fancoils!$B$12:$I$21,8,FALSE),IF(J68="1200",HLOOKUP($L$4,Fancoils!$B$12:$I$21,9,FALSE),IF(J68="1400",HLOOKUP($L$4,Fancoils!$B$12:$I$21,10,FALSE))))))))))</f>
        <v>5.37</v>
      </c>
      <c r="M68" s="10">
        <f>IF(J68="200",HLOOKUP($M$4,Fancoils!$B$12:$I$21,2,FALSE),IF(J68="300",HLOOKUP($M$4,Fancoils!$B$12:$I$21,3,FALSE),IF(J68="400",HLOOKUP($M$4,Fancoils!$B$12:$I$21,4,FALSE),IF(J68="500",HLOOKUP($M$4,Fancoils!$B$12:$I$21,5,FALSE),IF(J68="600",HLOOKUP($M$4,Fancoils!$B$12:$I$21,6,FALSE),IF(J68="800",HLOOKUP($M$4,Fancoils!$B$12:$I$21,7,FALSE),IF(J68="1000",HLOOKUP($M$4,Fancoils!$B$12:$I$21,8,FALSE),IF(J68="1200",HLOOKUP($M$4,Fancoils!$B$12:$I$21,9,FALSE),IF(J68="1400",HLOOKUP($M$4,Fancoils!$B$12:$I$21,10,FALSE))))))))))</f>
        <v>6.48</v>
      </c>
      <c r="N68" s="10">
        <f>IF(J68="200",HLOOKUP($N$4,Fancoils!$B$12:$I$21,2,FALSE),IF(J68="300",HLOOKUP($N$4,Fancoils!$B$12:$I$21,3,FALSE),IF(J68="400",HLOOKUP($N$4,Fancoils!$B$12:$I$21,4,FALSE),IF(J68="500",HLOOKUP($N$4,Fancoils!$B$12:$I$21,5,FALSE),IF(J68="600",HLOOKUP($N$4,Fancoils!$B$12:$I$21,6,FALSE),IF(J68="800",HLOOKUP($N$4,Fancoils!$B$12:$I$21,7,FALSE),IF(J68="1000",HLOOKUP($N$4,Fancoils!$B$12:$I$21,8,FALSE),IF(J68="1200",HLOOKUP($N$4,Fancoils!$B$12:$I$21,9,FALSE),IF(J68="1400",HLOOKUP($N$4,Fancoils!$B$12:$I$21,10,FALSE))))))))))</f>
        <v>1700</v>
      </c>
      <c r="O68" s="36">
        <f>REPORTE!P69</f>
        <v>117</v>
      </c>
      <c r="P68" s="14">
        <f t="shared" ref="P68" si="75">O68*3.6</f>
        <v>421.2</v>
      </c>
      <c r="Q68" s="10">
        <f>IF(J68="200",HLOOKUP($Q$4,Fancoils!$B$12:$I$21,2,FALSE),IF(J68="300",HLOOKUP($Q$4,Fancoils!$B$12:$I$21,3,FALSE),IF(J68="400",HLOOKUP($Q$4,Fancoils!$B$12:$I$21,4,FALSE),IF(J68="500",HLOOKUP($Q$4,Fancoils!$B$12:$I$21,5,FALSE),IF(J68="600",HLOOKUP($Q$4,Fancoils!$B$12:$I$21,6,FALSE),IF(J68="800",HLOOKUP($Q$4,Fancoils!$B$12:$I$21,7,FALSE),IF(J68="1000",HLOOKUP($Q$4,Fancoils!$B$12:$I$21,8,FALSE),IF(J68="1200",HLOOKUP($Q$4,Fancoils!$B$12:$I$21,9,FALSE),IF(J68="1400",HLOOKUP($Q$4,Fancoils!$B$12:$I$21,10,FALSE))))))))))</f>
        <v>200</v>
      </c>
      <c r="R68" s="10" t="s">
        <v>50</v>
      </c>
      <c r="S68" s="10">
        <v>4</v>
      </c>
      <c r="T68" s="22">
        <f t="shared" ref="T68" si="76">N68/S68</f>
        <v>425</v>
      </c>
      <c r="U68" s="13">
        <f t="shared" ref="U68" si="77">N68-P68</f>
        <v>1278.8</v>
      </c>
      <c r="V68" s="59">
        <f t="shared" si="5"/>
        <v>7.083333333333333</v>
      </c>
      <c r="W68" s="12">
        <f>IF(J68="200",HLOOKUP($W$4,Fancoils!$B$12:$S$21,2,FALSE),IF(J68="300",HLOOKUP($W$4,Fancoils!$B$12:$S$21,3,FALSE),IF(J68="400",HLOOKUP($W$4,Fancoils!$B$12:$S$21,4,FALSE),IF(J68="500",HLOOKUP($W$4,Fancoils!$B$12:$S$21,5,FALSE),IF(J68="600",HLOOKUP($W$4,Fancoils!$B$12:$S$21,6,FALSE),IF(J68="800",HLOOKUP($W$4,Fancoils!$B$12:$S$21,7,FALSE),IF(J68="1000",HLOOKUP($W$4,Fancoils!$B$12:$S$21,8,FALSE),IF(J68="1200",HLOOKUP($W$4,Fancoils!$B$12:$S$21,9,FALSE),IF(J68="1400",HLOOKUP($W$4,Fancoils!$B$12:$S$21,10,FALSE))))))))))</f>
        <v>22.366666666666667</v>
      </c>
      <c r="X68" s="12">
        <f>IF(J68="200",HLOOKUP($X$4,Fancoils!$B$12:$S$21,2,FALSE),IF(J68="300",HLOOKUP($X$4,Fancoils!$B$12:$S$21,3,FALSE),IF(J68="400",HLOOKUP($X$4,Fancoils!$B$12:$S$21,4,FALSE),IF(J68="500",HLOOKUP($X$4,Fancoils!$B$12:$S$21,5,FALSE),IF(J68="600",HLOOKUP($X$4,Fancoils!$B$12:$S$21,6,FALSE),IF(J68="800",HLOOKUP($X$4,Fancoils!$B$12:$S$21,7,FALSE),IF(J68="1000",HLOOKUP($X$4,Fancoils!$B$12:$S$21,8,FALSE),IF(J68="1200",HLOOKUP($X$4,Fancoils!$B$12:$S$21,9,FALSE),IF(J68="1400",HLOOKUP($X$4,Fancoils!$B$12:$S$21,10,FALSE))))))))))</f>
        <v>15.500000000000002</v>
      </c>
      <c r="Y68" t="s">
        <v>121</v>
      </c>
      <c r="Z68" s="2">
        <f t="shared" si="6"/>
        <v>7.02</v>
      </c>
      <c r="AA68">
        <f>REPORTE!M69</f>
        <v>438</v>
      </c>
    </row>
    <row r="69" spans="1:30" outlineLevel="1" x14ac:dyDescent="0.25">
      <c r="B69" s="10">
        <v>3</v>
      </c>
      <c r="C69" s="11" t="str">
        <f>REPORTE!A70</f>
        <v xml:space="preserve">3P 68 BOX CLINICO       </v>
      </c>
      <c r="D69" s="97"/>
      <c r="E69" s="10"/>
      <c r="F69" s="12"/>
      <c r="G69" s="12"/>
      <c r="H69" s="12"/>
      <c r="I69" s="12"/>
      <c r="J69" s="12"/>
      <c r="K69" s="10"/>
      <c r="L69" s="10"/>
      <c r="M69" s="10"/>
      <c r="N69" s="10"/>
      <c r="O69" s="36"/>
      <c r="P69" s="14"/>
      <c r="Q69" s="10"/>
      <c r="R69" s="10"/>
      <c r="S69" s="10"/>
      <c r="T69" s="22"/>
      <c r="U69" s="13"/>
      <c r="V69" s="59">
        <f t="shared" si="5"/>
        <v>0</v>
      </c>
      <c r="W69" s="12"/>
      <c r="X69" s="12"/>
      <c r="Z69" s="2"/>
      <c r="AA69">
        <f>REPORTE!M70</f>
        <v>0</v>
      </c>
    </row>
    <row r="70" spans="1:30" ht="15" customHeight="1" outlineLevel="1" x14ac:dyDescent="0.25">
      <c r="B70" s="10">
        <v>3</v>
      </c>
      <c r="C70" s="11" t="str">
        <f>REPORTE!A71</f>
        <v xml:space="preserve">3P 69 BOX DENTAL        </v>
      </c>
      <c r="D70" s="96" t="s">
        <v>501</v>
      </c>
      <c r="E70" s="10" t="s">
        <v>12</v>
      </c>
      <c r="F70" s="12">
        <f>REPORTE!B71</f>
        <v>8.5</v>
      </c>
      <c r="G70" s="12">
        <f>REPORTE!C71</f>
        <v>8.3000000000000007</v>
      </c>
      <c r="H70" s="12">
        <f>REPORTE!J71</f>
        <v>4.5</v>
      </c>
      <c r="I70" s="12">
        <f>AA70*3.6</f>
        <v>2635.2000000000003</v>
      </c>
      <c r="J70" s="12" t="str">
        <f t="shared" ref="J70" si="78">+IF(G70&lt;1.38,"200",IF(AND(1.39&lt;G70,G70&lt;1.86),"300",IF(AND(1.87&lt;G70,G70&lt;2.48),"400",IF(AND(2.49&lt;G70,G70&lt;2.96),"500",IF(AND(2.97&lt;G70,G70&lt;3.44),"600",IF(AND(3.45&lt;G70,G70&lt;4.68),"800",IF(AND(4.69&lt;G70,G70&lt;5.37),"1000",IF(AND(5.38&lt;G70,G70&lt;7.02),"1200",IF(AND(7.1&lt;G70,G70&gt;7.92),"1400",)))))))))</f>
        <v>1400</v>
      </c>
      <c r="K70" s="10">
        <f>IF(J70="200",HLOOKUP($K$4,Fancoils!$B$12:$I$21,2,FALSE),IF(J70="300",HLOOKUP($K$4,Fancoils!$B$12:$I$21,3,FALSE),IF(J70="400",HLOOKUP($K$4,Fancoils!$B$12:$I$21,4,FALSE),IF(J70="500",HLOOKUP($K$4,Fancoils!$B$12:$I$21,5,FALSE),IF(J70="600",HLOOKUP($K$4,Fancoils!$B$12:$I$21,6,FALSE),IF(J70="800",HLOOKUP($K$4,Fancoils!$B$12:$I$21,7,FALSE),IF(J70="1000",HLOOKUP($K$4,Fancoils!$B$12:$I$21,8,FALSE),IF(J70="1200",HLOOKUP($K$4,Fancoils!$B$12:$I$21,9,FALSE),IF(J70="1400",HLOOKUP($K$4,Fancoils!$B$12:$I$21,10,FALSE))))))))))</f>
        <v>11.5</v>
      </c>
      <c r="L70" s="10">
        <f>IF(J70="200",HLOOKUP($L$4,Fancoils!$B$12:$I$21,2,FALSE),IF(J70="300",HLOOKUP($L$4,Fancoils!$B$12:$I$21,3,FALSE),IF(J70="400",HLOOKUP($L$4,Fancoils!$B$12:$I$21,4,FALSE),IF(J70="500",HLOOKUP($L$4,Fancoils!$B$12:$I$21,5,FALSE),IF(J70="600",HLOOKUP($L$4,Fancoils!$B$12:$I$21,6,FALSE),IF(J70="800",HLOOKUP($L$4,Fancoils!$B$12:$I$21,7,FALSE),IF(J70="1000",HLOOKUP($L$4,Fancoils!$B$12:$I$21,8,FALSE),IF(J70="1200",HLOOKUP($L$4,Fancoils!$B$12:$I$21,9,FALSE),IF(J70="1400",HLOOKUP($L$4,Fancoils!$B$12:$I$21,10,FALSE))))))))))</f>
        <v>7.92</v>
      </c>
      <c r="M70" s="10">
        <f>IF(J70="200",HLOOKUP($M$4,Fancoils!$B$12:$I$21,2,FALSE),IF(J70="300",HLOOKUP($M$4,Fancoils!$B$12:$I$21,3,FALSE),IF(J70="400",HLOOKUP($M$4,Fancoils!$B$12:$I$21,4,FALSE),IF(J70="500",HLOOKUP($M$4,Fancoils!$B$12:$I$21,5,FALSE),IF(J70="600",HLOOKUP($M$4,Fancoils!$B$12:$I$21,6,FALSE),IF(J70="800",HLOOKUP($M$4,Fancoils!$B$12:$I$21,7,FALSE),IF(J70="1000",HLOOKUP($M$4,Fancoils!$B$12:$I$21,8,FALSE),IF(J70="1200",HLOOKUP($M$4,Fancoils!$B$12:$I$21,9,FALSE),IF(J70="1400",HLOOKUP($M$4,Fancoils!$B$12:$I$21,10,FALSE))))))))))</f>
        <v>9.3000000000000007</v>
      </c>
      <c r="N70" s="10">
        <f>IF(J70="200",HLOOKUP($N$4,Fancoils!$B$12:$I$21,2,FALSE),IF(J70="300",HLOOKUP($N$4,Fancoils!$B$12:$I$21,3,FALSE),IF(J70="400",HLOOKUP($N$4,Fancoils!$B$12:$I$21,4,FALSE),IF(J70="500",HLOOKUP($N$4,Fancoils!$B$12:$I$21,5,FALSE),IF(J70="600",HLOOKUP($N$4,Fancoils!$B$12:$I$21,6,FALSE),IF(J70="800",HLOOKUP($N$4,Fancoils!$B$12:$I$21,7,FALSE),IF(J70="1000",HLOOKUP($N$4,Fancoils!$B$12:$I$21,8,FALSE),IF(J70="1200",HLOOKUP($N$4,Fancoils!$B$12:$I$21,9,FALSE),IF(J70="1400",HLOOKUP($N$4,Fancoils!$B$12:$I$21,10,FALSE))))))))))</f>
        <v>2380</v>
      </c>
      <c r="O70" s="36">
        <f>REPORTE!P71</f>
        <v>144</v>
      </c>
      <c r="P70" s="14">
        <f t="shared" ref="P70" si="79">O70*3.6</f>
        <v>518.4</v>
      </c>
      <c r="Q70" s="10">
        <f>IF(J70="200",HLOOKUP($Q$4,Fancoils!$B$12:$I$21,2,FALSE),IF(J70="300",HLOOKUP($Q$4,Fancoils!$B$12:$I$21,3,FALSE),IF(J70="400",HLOOKUP($Q$4,Fancoils!$B$12:$I$21,4,FALSE),IF(J70="500",HLOOKUP($Q$4,Fancoils!$B$12:$I$21,5,FALSE),IF(J70="600",HLOOKUP($Q$4,Fancoils!$B$12:$I$21,6,FALSE),IF(J70="800",HLOOKUP($Q$4,Fancoils!$B$12:$I$21,7,FALSE),IF(J70="1000",HLOOKUP($Q$4,Fancoils!$B$12:$I$21,8,FALSE),IF(J70="1200",HLOOKUP($Q$4,Fancoils!$B$12:$I$21,9,FALSE),IF(J70="1400",HLOOKUP($Q$4,Fancoils!$B$12:$I$21,10,FALSE))))))))))</f>
        <v>240</v>
      </c>
      <c r="R70" s="10" t="s">
        <v>50</v>
      </c>
      <c r="S70" s="10">
        <v>6</v>
      </c>
      <c r="T70" s="72">
        <f t="shared" ref="T70" si="80">N70/S70</f>
        <v>396.66666666666669</v>
      </c>
      <c r="U70" s="13">
        <f t="shared" ref="U70" si="81">N70-P70</f>
        <v>1861.6</v>
      </c>
      <c r="V70" s="59">
        <f t="shared" ref="V70:V88" si="82">T70/60</f>
        <v>6.6111111111111116</v>
      </c>
      <c r="W70" s="12">
        <f>IF(J70="200",HLOOKUP($W$4,Fancoils!$B$12:$S$21,2,FALSE),IF(J70="300",HLOOKUP($W$4,Fancoils!$B$12:$S$21,3,FALSE),IF(J70="400",HLOOKUP($W$4,Fancoils!$B$12:$S$21,4,FALSE),IF(J70="500",HLOOKUP($W$4,Fancoils!$B$12:$S$21,5,FALSE),IF(J70="600",HLOOKUP($W$4,Fancoils!$B$12:$S$21,6,FALSE),IF(J70="800",HLOOKUP($W$4,Fancoils!$B$12:$S$21,7,FALSE),IF(J70="1000",HLOOKUP($W$4,Fancoils!$B$12:$S$21,8,FALSE),IF(J70="1200",HLOOKUP($W$4,Fancoils!$B$12:$S$21,9,FALSE),IF(J70="1400",HLOOKUP($W$4,Fancoils!$B$12:$S$21,10,FALSE))))))))))</f>
        <v>32.966666666666669</v>
      </c>
      <c r="X70" s="12">
        <f>IF(J70="200",HLOOKUP($X$4,Fancoils!$B$12:$S$21,2,FALSE),IF(J70="300",HLOOKUP($X$4,Fancoils!$B$12:$S$21,3,FALSE),IF(J70="400",HLOOKUP($X$4,Fancoils!$B$12:$S$21,4,FALSE),IF(J70="500",HLOOKUP($X$4,Fancoils!$B$12:$S$21,5,FALSE),IF(J70="600",HLOOKUP($X$4,Fancoils!$B$12:$S$21,6,FALSE),IF(J70="800",HLOOKUP($X$4,Fancoils!$B$12:$S$21,7,FALSE),IF(J70="1000",HLOOKUP($X$4,Fancoils!$B$12:$S$21,8,FALSE),IF(J70="1200",HLOOKUP($X$4,Fancoils!$B$12:$S$21,9,FALSE),IF(J70="1400",HLOOKUP($X$4,Fancoils!$B$12:$S$21,10,FALSE))))))))))</f>
        <v>22.166666666666668</v>
      </c>
      <c r="Y70" t="s">
        <v>121</v>
      </c>
      <c r="Z70" s="2">
        <f t="shared" si="6"/>
        <v>8.6399999999999988</v>
      </c>
      <c r="AA70">
        <f>REPORTE!M71</f>
        <v>732</v>
      </c>
      <c r="AB70" t="s">
        <v>374</v>
      </c>
      <c r="AC70">
        <f>AB64+AB76+AC36</f>
        <v>322.64400000000001</v>
      </c>
      <c r="AD70" t="s">
        <v>377</v>
      </c>
    </row>
    <row r="71" spans="1:30" s="33" customFormat="1" outlineLevel="1" x14ac:dyDescent="0.25">
      <c r="B71" s="10">
        <v>3</v>
      </c>
      <c r="C71" s="11" t="str">
        <f>REPORTE!A72</f>
        <v xml:space="preserve">3P 70 BOX DENTAL        </v>
      </c>
      <c r="D71" s="97"/>
      <c r="E71" s="10"/>
      <c r="F71" s="12"/>
      <c r="G71" s="12"/>
      <c r="H71" s="12"/>
      <c r="I71" s="12"/>
      <c r="J71" s="12"/>
      <c r="K71" s="10"/>
      <c r="L71" s="10"/>
      <c r="M71" s="10"/>
      <c r="N71" s="10"/>
      <c r="O71" s="36"/>
      <c r="P71" s="36"/>
      <c r="Q71" s="10"/>
      <c r="R71" s="17"/>
      <c r="S71" s="17"/>
      <c r="T71" s="37"/>
      <c r="U71" s="20"/>
      <c r="V71" s="59">
        <f t="shared" si="82"/>
        <v>0</v>
      </c>
      <c r="W71" s="12"/>
      <c r="X71" s="12"/>
      <c r="Z71" s="2"/>
      <c r="AA71">
        <f>REPORTE!M72</f>
        <v>0</v>
      </c>
    </row>
    <row r="72" spans="1:30" x14ac:dyDescent="0.25">
      <c r="A72" s="33"/>
      <c r="B72" s="10">
        <v>3</v>
      </c>
      <c r="C72" s="11" t="str">
        <f>REPORTE!A73</f>
        <v>3P 71 TRABAJ CLINIC GRUP</v>
      </c>
      <c r="D72" s="96" t="s">
        <v>502</v>
      </c>
      <c r="E72" s="10" t="s">
        <v>12</v>
      </c>
      <c r="F72" s="12">
        <f>REPORTE!B73</f>
        <v>5.6</v>
      </c>
      <c r="G72" s="12">
        <f>REPORTE!C73</f>
        <v>5.5</v>
      </c>
      <c r="H72" s="12">
        <f>REPORTE!J73</f>
        <v>3.8</v>
      </c>
      <c r="I72" s="12">
        <f>AA72*3.6</f>
        <v>1828.8</v>
      </c>
      <c r="J72" s="12" t="str">
        <f t="shared" ref="J72" si="83">+IF(G72&lt;1.38,"200",IF(AND(1.39&lt;G72,G72&lt;1.86),"300",IF(AND(1.87&lt;G72,G72&lt;2.48),"400",IF(AND(2.49&lt;G72,G72&lt;2.96),"500",IF(AND(2.97&lt;G72,G72&lt;3.44),"600",IF(AND(3.45&lt;G72,G72&lt;4.68),"800",IF(AND(4.69&lt;G72,G72&lt;5.37),"1000",IF(AND(5.38&lt;G72,G72&lt;7.02),"1200",IF(AND(7.1&lt;G72,G72&gt;7.92),"1400",)))))))))</f>
        <v>1200</v>
      </c>
      <c r="K72" s="10">
        <f>IF(J72="200",HLOOKUP($K$4,Fancoils!$B$12:$I$21,2,FALSE),IF(J72="300",HLOOKUP($K$4,Fancoils!$B$12:$I$21,3,FALSE),IF(J72="400",HLOOKUP($K$4,Fancoils!$B$12:$I$21,4,FALSE),IF(J72="500",HLOOKUP($K$4,Fancoils!$B$12:$I$21,5,FALSE),IF(J72="600",HLOOKUP($K$4,Fancoils!$B$12:$I$21,6,FALSE),IF(J72="800",HLOOKUP($K$4,Fancoils!$B$12:$I$21,7,FALSE),IF(J72="1000",HLOOKUP($K$4,Fancoils!$B$12:$I$21,8,FALSE),IF(J72="1200",HLOOKUP($K$4,Fancoils!$B$12:$I$21,9,FALSE),IF(J72="1400",HLOOKUP($K$4,Fancoils!$B$12:$I$21,10,FALSE))))))))))</f>
        <v>10.199999999999999</v>
      </c>
      <c r="L72" s="10">
        <f>IF(J72="200",HLOOKUP($L$4,Fancoils!$B$12:$I$21,2,FALSE),IF(J72="300",HLOOKUP($L$4,Fancoils!$B$12:$I$21,3,FALSE),IF(J72="400",HLOOKUP($L$4,Fancoils!$B$12:$I$21,4,FALSE),IF(J72="500",HLOOKUP($L$4,Fancoils!$B$12:$I$21,5,FALSE),IF(J72="600",HLOOKUP($L$4,Fancoils!$B$12:$I$21,6,FALSE),IF(J72="800",HLOOKUP($L$4,Fancoils!$B$12:$I$21,7,FALSE),IF(J72="1000",HLOOKUP($L$4,Fancoils!$B$12:$I$21,8,FALSE),IF(J72="1200",HLOOKUP($L$4,Fancoils!$B$12:$I$21,9,FALSE),IF(J72="1400",HLOOKUP($L$4,Fancoils!$B$12:$I$21,10,FALSE))))))))))</f>
        <v>7.02</v>
      </c>
      <c r="M72" s="10">
        <f>IF(J72="200",HLOOKUP($M$4,Fancoils!$B$12:$I$21,2,FALSE),IF(J72="300",HLOOKUP($M$4,Fancoils!$B$12:$I$21,3,FALSE),IF(J72="400",HLOOKUP($M$4,Fancoils!$B$12:$I$21,4,FALSE),IF(J72="500",HLOOKUP($M$4,Fancoils!$B$12:$I$21,5,FALSE),IF(J72="600",HLOOKUP($M$4,Fancoils!$B$12:$I$21,6,FALSE),IF(J72="800",HLOOKUP($M$4,Fancoils!$B$12:$I$21,7,FALSE),IF(J72="1000",HLOOKUP($M$4,Fancoils!$B$12:$I$21,8,FALSE),IF(J72="1200",HLOOKUP($M$4,Fancoils!$B$12:$I$21,9,FALSE),IF(J72="1400",HLOOKUP($M$4,Fancoils!$B$12:$I$21,10,FALSE))))))))))</f>
        <v>8.1</v>
      </c>
      <c r="N72" s="10">
        <f>IF(J72="200",HLOOKUP($N$4,Fancoils!$B$12:$I$21,2,FALSE),IF(J72="300",HLOOKUP($N$4,Fancoils!$B$12:$I$21,3,FALSE),IF(J72="400",HLOOKUP($N$4,Fancoils!$B$12:$I$21,4,FALSE),IF(J72="500",HLOOKUP($N$4,Fancoils!$B$12:$I$21,5,FALSE),IF(J72="600",HLOOKUP($N$4,Fancoils!$B$12:$I$21,6,FALSE),IF(J72="800",HLOOKUP($N$4,Fancoils!$B$12:$I$21,7,FALSE),IF(J72="1000",HLOOKUP($N$4,Fancoils!$B$12:$I$21,8,FALSE),IF(J72="1200",HLOOKUP($N$4,Fancoils!$B$12:$I$21,9,FALSE),IF(J72="1400",HLOOKUP($N$4,Fancoils!$B$12:$I$21,10,FALSE))))))))))</f>
        <v>1860</v>
      </c>
      <c r="O72" s="36">
        <f>REPORTE!P73</f>
        <v>144</v>
      </c>
      <c r="P72" s="14">
        <f t="shared" ref="P72" si="84">O72*3.6</f>
        <v>518.4</v>
      </c>
      <c r="Q72" s="10">
        <f>IF(J72="200",HLOOKUP($Q$4,Fancoils!$B$12:$I$21,2,FALSE),IF(J72="300",HLOOKUP($Q$4,Fancoils!$B$12:$I$21,3,FALSE),IF(J72="400",HLOOKUP($Q$4,Fancoils!$B$12:$I$21,4,FALSE),IF(J72="500",HLOOKUP($Q$4,Fancoils!$B$12:$I$21,5,FALSE),IF(J72="600",HLOOKUP($Q$4,Fancoils!$B$12:$I$21,6,FALSE),IF(J72="800",HLOOKUP($Q$4,Fancoils!$B$12:$I$21,7,FALSE),IF(J72="1000",HLOOKUP($Q$4,Fancoils!$B$12:$I$21,8,FALSE),IF(J72="1200",HLOOKUP($Q$4,Fancoils!$B$12:$I$21,9,FALSE),IF(J72="1400",HLOOKUP($Q$4,Fancoils!$B$12:$I$21,10,FALSE))))))))))</f>
        <v>200</v>
      </c>
      <c r="R72" s="10" t="s">
        <v>50</v>
      </c>
      <c r="S72" s="10">
        <v>4</v>
      </c>
      <c r="T72" s="22">
        <f t="shared" ref="T72" si="85">N72/S72</f>
        <v>465</v>
      </c>
      <c r="U72" s="13">
        <f t="shared" ref="U72" si="86">N72-P72</f>
        <v>1341.6</v>
      </c>
      <c r="V72" s="59">
        <f t="shared" si="82"/>
        <v>7.75</v>
      </c>
      <c r="W72" s="12">
        <f>IF(J72="200",HLOOKUP($W$4,Fancoils!$B$12:$S$21,2,FALSE),IF(J72="300",HLOOKUP($W$4,Fancoils!$B$12:$S$21,3,FALSE),IF(J72="400",HLOOKUP($W$4,Fancoils!$B$12:$S$21,4,FALSE),IF(J72="500",HLOOKUP($W$4,Fancoils!$B$12:$S$21,5,FALSE),IF(J72="600",HLOOKUP($W$4,Fancoils!$B$12:$S$21,6,FALSE),IF(J72="800",HLOOKUP($W$4,Fancoils!$B$12:$S$21,7,FALSE),IF(J72="1000",HLOOKUP($W$4,Fancoils!$B$12:$S$21,8,FALSE),IF(J72="1200",HLOOKUP($W$4,Fancoils!$B$12:$S$21,9,FALSE),IF(J72="1400",HLOOKUP($W$4,Fancoils!$B$12:$S$21,10,FALSE))))))))))</f>
        <v>29.233333333333334</v>
      </c>
      <c r="X72" s="12">
        <f>IF(J72="200",HLOOKUP($X$4,Fancoils!$B$12:$S$21,2,FALSE),IF(J72="300",HLOOKUP($X$4,Fancoils!$B$12:$S$21,3,FALSE),IF(J72="400",HLOOKUP($X$4,Fancoils!$B$12:$S$21,4,FALSE),IF(J72="500",HLOOKUP($X$4,Fancoils!$B$12:$S$21,5,FALSE),IF(J72="600",HLOOKUP($X$4,Fancoils!$B$12:$S$21,6,FALSE),IF(J72="800",HLOOKUP($X$4,Fancoils!$B$12:$S$21,7,FALSE),IF(J72="1000",HLOOKUP($X$4,Fancoils!$B$12:$S$21,8,FALSE),IF(J72="1200",HLOOKUP($X$4,Fancoils!$B$12:$S$21,9,FALSE),IF(J72="1400",HLOOKUP($X$4,Fancoils!$B$12:$S$21,10,FALSE))))))))))</f>
        <v>19.333333333333332</v>
      </c>
      <c r="Y72" t="s">
        <v>121</v>
      </c>
      <c r="Z72" s="2">
        <f t="shared" si="6"/>
        <v>8.6399999999999988</v>
      </c>
      <c r="AA72">
        <f>REPORTE!M73</f>
        <v>508</v>
      </c>
    </row>
    <row r="73" spans="1:30" x14ac:dyDescent="0.25">
      <c r="A73" s="33"/>
      <c r="B73" s="10">
        <v>3</v>
      </c>
      <c r="C73" s="11" t="str">
        <f>REPORTE!A74</f>
        <v xml:space="preserve">3P 72 SOME SATELITE     </v>
      </c>
      <c r="D73" s="97"/>
      <c r="E73" s="10"/>
      <c r="F73" s="12"/>
      <c r="G73" s="12"/>
      <c r="H73" s="12"/>
      <c r="I73" s="12"/>
      <c r="J73" s="12"/>
      <c r="K73" s="10"/>
      <c r="L73" s="10"/>
      <c r="M73" s="10"/>
      <c r="N73" s="10"/>
      <c r="O73" s="36"/>
      <c r="P73" s="14"/>
      <c r="Q73" s="10"/>
      <c r="R73" s="10"/>
      <c r="S73" s="10"/>
      <c r="T73" s="22"/>
      <c r="U73" s="13"/>
      <c r="V73" s="59">
        <f t="shared" si="82"/>
        <v>0</v>
      </c>
      <c r="W73" s="12"/>
      <c r="X73" s="12"/>
      <c r="Z73" s="2"/>
      <c r="AA73">
        <f>REPORTE!M74</f>
        <v>0</v>
      </c>
    </row>
    <row r="74" spans="1:30" x14ac:dyDescent="0.25">
      <c r="A74" s="33"/>
      <c r="B74" s="10">
        <v>3</v>
      </c>
      <c r="C74" s="11" t="str">
        <f>REPORTE!A75</f>
        <v xml:space="preserve">3P 73 SALA DE ESPERA    </v>
      </c>
      <c r="D74" s="10" t="s">
        <v>503</v>
      </c>
      <c r="E74" s="10" t="s">
        <v>12</v>
      </c>
      <c r="F74" s="12">
        <f>REPORTE!B75/2</f>
        <v>10.15</v>
      </c>
      <c r="G74" s="12">
        <f>REPORTE!C75/2</f>
        <v>9.15</v>
      </c>
      <c r="H74" s="12">
        <f>REPORTE!J75/2</f>
        <v>10.9</v>
      </c>
      <c r="I74" s="12">
        <f>AA74*3.6/2</f>
        <v>2916</v>
      </c>
      <c r="J74" s="12" t="str">
        <f t="shared" si="55"/>
        <v>1400</v>
      </c>
      <c r="K74" s="10">
        <f>IF(J74="200",HLOOKUP($K$4,Fancoils!$B$12:$I$21,2,FALSE),IF(J74="300",HLOOKUP($K$4,Fancoils!$B$12:$I$21,3,FALSE),IF(J74="400",HLOOKUP($K$4,Fancoils!$B$12:$I$21,4,FALSE),IF(J74="500",HLOOKUP($K$4,Fancoils!$B$12:$I$21,5,FALSE),IF(J74="600",HLOOKUP($K$4,Fancoils!$B$12:$I$21,6,FALSE),IF(J74="800",HLOOKUP($K$4,Fancoils!$B$12:$I$21,7,FALSE),IF(J74="1000",HLOOKUP($K$4,Fancoils!$B$12:$I$21,8,FALSE),IF(J74="1200",HLOOKUP($K$4,Fancoils!$B$12:$I$21,9,FALSE),IF(J74="1400",HLOOKUP($K$4,Fancoils!$B$12:$I$21,10,FALSE))))))))))</f>
        <v>11.5</v>
      </c>
      <c r="L74" s="10">
        <f>IF(J74="200",HLOOKUP($L$4,Fancoils!$B$12:$I$21,2,FALSE),IF(J74="300",HLOOKUP($L$4,Fancoils!$B$12:$I$21,3,FALSE),IF(J74="400",HLOOKUP($L$4,Fancoils!$B$12:$I$21,4,FALSE),IF(J74="500",HLOOKUP($L$4,Fancoils!$B$12:$I$21,5,FALSE),IF(J74="600",HLOOKUP($L$4,Fancoils!$B$12:$I$21,6,FALSE),IF(J74="800",HLOOKUP($L$4,Fancoils!$B$12:$I$21,7,FALSE),IF(J74="1000",HLOOKUP($L$4,Fancoils!$B$12:$I$21,8,FALSE),IF(J74="1200",HLOOKUP($L$4,Fancoils!$B$12:$I$21,9,FALSE),IF(J74="1400",HLOOKUP($L$4,Fancoils!$B$12:$I$21,10,FALSE))))))))))</f>
        <v>7.92</v>
      </c>
      <c r="M74" s="10">
        <f>IF(J74="200",HLOOKUP($M$4,Fancoils!$B$12:$I$21,2,FALSE),IF(J74="300",HLOOKUP($M$4,Fancoils!$B$12:$I$21,3,FALSE),IF(J74="400",HLOOKUP($M$4,Fancoils!$B$12:$I$21,4,FALSE),IF(J74="500",HLOOKUP($M$4,Fancoils!$B$12:$I$21,5,FALSE),IF(J74="600",HLOOKUP($M$4,Fancoils!$B$12:$I$21,6,FALSE),IF(J74="800",HLOOKUP($M$4,Fancoils!$B$12:$I$21,7,FALSE),IF(J74="1000",HLOOKUP($M$4,Fancoils!$B$12:$I$21,8,FALSE),IF(J74="1200",HLOOKUP($M$4,Fancoils!$B$12:$I$21,9,FALSE),IF(J74="1400",HLOOKUP($M$4,Fancoils!$B$12:$I$21,10,FALSE))))))))))</f>
        <v>9.3000000000000007</v>
      </c>
      <c r="N74" s="10">
        <f>IF(J74="200",HLOOKUP($N$4,Fancoils!$B$12:$I$21,2,FALSE),IF(J74="300",HLOOKUP($N$4,Fancoils!$B$12:$I$21,3,FALSE),IF(J74="400",HLOOKUP($N$4,Fancoils!$B$12:$I$21,4,FALSE),IF(J74="500",HLOOKUP($N$4,Fancoils!$B$12:$I$21,5,FALSE),IF(J74="600",HLOOKUP($N$4,Fancoils!$B$12:$I$21,6,FALSE),IF(J74="800",HLOOKUP($N$4,Fancoils!$B$12:$I$21,7,FALSE),IF(J74="1000",HLOOKUP($N$4,Fancoils!$B$12:$I$21,8,FALSE),IF(J74="1200",HLOOKUP($N$4,Fancoils!$B$12:$I$21,9,FALSE),IF(J74="1400",HLOOKUP($N$4,Fancoils!$B$12:$I$21,10,FALSE))))))))))</f>
        <v>2380</v>
      </c>
      <c r="O74" s="36">
        <f>REPORTE!P75/2</f>
        <v>430</v>
      </c>
      <c r="P74" s="14">
        <f t="shared" si="57"/>
        <v>1548</v>
      </c>
      <c r="Q74" s="10">
        <f>IF(J74="200",HLOOKUP($Q$4,Fancoils!$B$12:$I$21,2,FALSE),IF(J74="300",HLOOKUP($Q$4,Fancoils!$B$12:$I$21,3,FALSE),IF(J74="400",HLOOKUP($Q$4,Fancoils!$B$12:$I$21,4,FALSE),IF(J74="500",HLOOKUP($Q$4,Fancoils!$B$12:$I$21,5,FALSE),IF(J74="600",HLOOKUP($Q$4,Fancoils!$B$12:$I$21,6,FALSE),IF(J74="800",HLOOKUP($Q$4,Fancoils!$B$12:$I$21,7,FALSE),IF(J74="1000",HLOOKUP($Q$4,Fancoils!$B$12:$I$21,8,FALSE),IF(J74="1200",HLOOKUP($Q$4,Fancoils!$B$12:$I$21,9,FALSE),IF(J74="1400",HLOOKUP($Q$4,Fancoils!$B$12:$I$21,10,FALSE))))))))))</f>
        <v>240</v>
      </c>
      <c r="R74" s="10" t="s">
        <v>54</v>
      </c>
      <c r="S74" s="10">
        <v>4</v>
      </c>
      <c r="T74" s="22">
        <f t="shared" si="58"/>
        <v>595</v>
      </c>
      <c r="U74" s="13">
        <f t="shared" si="59"/>
        <v>832</v>
      </c>
      <c r="V74" s="59">
        <f t="shared" si="82"/>
        <v>9.9166666666666661</v>
      </c>
      <c r="W74" s="12">
        <f>IF(J74="200",HLOOKUP($W$4,Fancoils!$B$12:$S$21,2,FALSE),IF(J74="300",HLOOKUP($W$4,Fancoils!$B$12:$S$21,3,FALSE),IF(J74="400",HLOOKUP($W$4,Fancoils!$B$12:$S$21,4,FALSE),IF(J74="500",HLOOKUP($W$4,Fancoils!$B$12:$S$21,5,FALSE),IF(J74="600",HLOOKUP($W$4,Fancoils!$B$12:$S$21,6,FALSE),IF(J74="800",HLOOKUP($W$4,Fancoils!$B$12:$S$21,7,FALSE),IF(J74="1000",HLOOKUP($W$4,Fancoils!$B$12:$S$21,8,FALSE),IF(J74="1200",HLOOKUP($W$4,Fancoils!$B$12:$S$21,9,FALSE),IF(J74="1400",HLOOKUP($W$4,Fancoils!$B$12:$S$21,10,FALSE))))))))))</f>
        <v>32.966666666666669</v>
      </c>
      <c r="X74" s="12">
        <f>IF(J74="200",HLOOKUP($X$4,Fancoils!$B$12:$S$21,2,FALSE),IF(J74="300",HLOOKUP($X$4,Fancoils!$B$12:$S$21,3,FALSE),IF(J74="400",HLOOKUP($X$4,Fancoils!$B$12:$S$21,4,FALSE),IF(J74="500",HLOOKUP($X$4,Fancoils!$B$12:$S$21,5,FALSE),IF(J74="600",HLOOKUP($X$4,Fancoils!$B$12:$S$21,6,FALSE),IF(J74="800",HLOOKUP($X$4,Fancoils!$B$12:$S$21,7,FALSE),IF(J74="1000",HLOOKUP($X$4,Fancoils!$B$12:$S$21,8,FALSE),IF(J74="1200",HLOOKUP($X$4,Fancoils!$B$12:$S$21,9,FALSE),IF(J74="1400",HLOOKUP($X$4,Fancoils!$B$12:$S$21,10,FALSE))))))))))</f>
        <v>22.166666666666668</v>
      </c>
      <c r="Y74" t="s">
        <v>119</v>
      </c>
      <c r="Z74" s="2">
        <f t="shared" si="6"/>
        <v>25.8</v>
      </c>
      <c r="AA74">
        <f>REPORTE!M75</f>
        <v>1620</v>
      </c>
    </row>
    <row r="75" spans="1:30" x14ac:dyDescent="0.25">
      <c r="A75" s="33"/>
      <c r="B75" s="10">
        <v>3</v>
      </c>
      <c r="C75" s="11" t="str">
        <f>REPORTE!A76</f>
        <v xml:space="preserve">3P 73 SALA DE ESPERA    </v>
      </c>
      <c r="D75" s="10" t="s">
        <v>504</v>
      </c>
      <c r="E75" s="10" t="s">
        <v>12</v>
      </c>
      <c r="F75" s="12">
        <f>REPORTE!B76/2</f>
        <v>10.15</v>
      </c>
      <c r="G75" s="12">
        <f>REPORTE!C76/2</f>
        <v>9.15</v>
      </c>
      <c r="H75" s="12">
        <f>REPORTE!J76/2</f>
        <v>10.9</v>
      </c>
      <c r="I75" s="12">
        <f>AA75*3.6/2</f>
        <v>2916</v>
      </c>
      <c r="J75" s="12" t="str">
        <f t="shared" si="55"/>
        <v>1400</v>
      </c>
      <c r="K75" s="10">
        <f>IF(J75="200",HLOOKUP($K$4,Fancoils!$B$12:$I$21,2,FALSE),IF(J75="300",HLOOKUP($K$4,Fancoils!$B$12:$I$21,3,FALSE),IF(J75="400",HLOOKUP($K$4,Fancoils!$B$12:$I$21,4,FALSE),IF(J75="500",HLOOKUP($K$4,Fancoils!$B$12:$I$21,5,FALSE),IF(J75="600",HLOOKUP($K$4,Fancoils!$B$12:$I$21,6,FALSE),IF(J75="800",HLOOKUP($K$4,Fancoils!$B$12:$I$21,7,FALSE),IF(J75="1000",HLOOKUP($K$4,Fancoils!$B$12:$I$21,8,FALSE),IF(J75="1200",HLOOKUP($K$4,Fancoils!$B$12:$I$21,9,FALSE),IF(J75="1400",HLOOKUP($K$4,Fancoils!$B$12:$I$21,10,FALSE))))))))))</f>
        <v>11.5</v>
      </c>
      <c r="L75" s="10">
        <f>IF(J75="200",HLOOKUP($L$4,Fancoils!$B$12:$I$21,2,FALSE),IF(J75="300",HLOOKUP($L$4,Fancoils!$B$12:$I$21,3,FALSE),IF(J75="400",HLOOKUP($L$4,Fancoils!$B$12:$I$21,4,FALSE),IF(J75="500",HLOOKUP($L$4,Fancoils!$B$12:$I$21,5,FALSE),IF(J75="600",HLOOKUP($L$4,Fancoils!$B$12:$I$21,6,FALSE),IF(J75="800",HLOOKUP($L$4,Fancoils!$B$12:$I$21,7,FALSE),IF(J75="1000",HLOOKUP($L$4,Fancoils!$B$12:$I$21,8,FALSE),IF(J75="1200",HLOOKUP($L$4,Fancoils!$B$12:$I$21,9,FALSE),IF(J75="1400",HLOOKUP($L$4,Fancoils!$B$12:$I$21,10,FALSE))))))))))</f>
        <v>7.92</v>
      </c>
      <c r="M75" s="10">
        <f>IF(J75="200",HLOOKUP($M$4,Fancoils!$B$12:$I$21,2,FALSE),IF(J75="300",HLOOKUP($M$4,Fancoils!$B$12:$I$21,3,FALSE),IF(J75="400",HLOOKUP($M$4,Fancoils!$B$12:$I$21,4,FALSE),IF(J75="500",HLOOKUP($M$4,Fancoils!$B$12:$I$21,5,FALSE),IF(J75="600",HLOOKUP($M$4,Fancoils!$B$12:$I$21,6,FALSE),IF(J75="800",HLOOKUP($M$4,Fancoils!$B$12:$I$21,7,FALSE),IF(J75="1000",HLOOKUP($M$4,Fancoils!$B$12:$I$21,8,FALSE),IF(J75="1200",HLOOKUP($M$4,Fancoils!$B$12:$I$21,9,FALSE),IF(J75="1400",HLOOKUP($M$4,Fancoils!$B$12:$I$21,10,FALSE))))))))))</f>
        <v>9.3000000000000007</v>
      </c>
      <c r="N75" s="10">
        <f>IF(J75="200",HLOOKUP($N$4,Fancoils!$B$12:$I$21,2,FALSE),IF(J75="300",HLOOKUP($N$4,Fancoils!$B$12:$I$21,3,FALSE),IF(J75="400",HLOOKUP($N$4,Fancoils!$B$12:$I$21,4,FALSE),IF(J75="500",HLOOKUP($N$4,Fancoils!$B$12:$I$21,5,FALSE),IF(J75="600",HLOOKUP($N$4,Fancoils!$B$12:$I$21,6,FALSE),IF(J75="800",HLOOKUP($N$4,Fancoils!$B$12:$I$21,7,FALSE),IF(J75="1000",HLOOKUP($N$4,Fancoils!$B$12:$I$21,8,FALSE),IF(J75="1200",HLOOKUP($N$4,Fancoils!$B$12:$I$21,9,FALSE),IF(J75="1400",HLOOKUP($N$4,Fancoils!$B$12:$I$21,10,FALSE))))))))))</f>
        <v>2380</v>
      </c>
      <c r="O75" s="36">
        <f>REPORTE!P76/2</f>
        <v>430</v>
      </c>
      <c r="P75" s="14">
        <f t="shared" si="57"/>
        <v>1548</v>
      </c>
      <c r="Q75" s="10">
        <f>IF(J75="200",HLOOKUP($Q$4,Fancoils!$B$12:$I$21,2,FALSE),IF(J75="300",HLOOKUP($Q$4,Fancoils!$B$12:$I$21,3,FALSE),IF(J75="400",HLOOKUP($Q$4,Fancoils!$B$12:$I$21,4,FALSE),IF(J75="500",HLOOKUP($Q$4,Fancoils!$B$12:$I$21,5,FALSE),IF(J75="600",HLOOKUP($Q$4,Fancoils!$B$12:$I$21,6,FALSE),IF(J75="800",HLOOKUP($Q$4,Fancoils!$B$12:$I$21,7,FALSE),IF(J75="1000",HLOOKUP($Q$4,Fancoils!$B$12:$I$21,8,FALSE),IF(J75="1200",HLOOKUP($Q$4,Fancoils!$B$12:$I$21,9,FALSE),IF(J75="1400",HLOOKUP($Q$4,Fancoils!$B$12:$I$21,10,FALSE))))))))))</f>
        <v>240</v>
      </c>
      <c r="R75" s="10" t="s">
        <v>55</v>
      </c>
      <c r="S75" s="10">
        <v>4</v>
      </c>
      <c r="T75" s="22">
        <f t="shared" si="58"/>
        <v>595</v>
      </c>
      <c r="U75" s="13">
        <f t="shared" si="59"/>
        <v>832</v>
      </c>
      <c r="V75" s="59">
        <f t="shared" si="82"/>
        <v>9.9166666666666661</v>
      </c>
      <c r="W75" s="12">
        <f>IF(J75="200",HLOOKUP($W$4,Fancoils!$B$12:$S$21,2,FALSE),IF(J75="300",HLOOKUP($W$4,Fancoils!$B$12:$S$21,3,FALSE),IF(J75="400",HLOOKUP($W$4,Fancoils!$B$12:$S$21,4,FALSE),IF(J75="500",HLOOKUP($W$4,Fancoils!$B$12:$S$21,5,FALSE),IF(J75="600",HLOOKUP($W$4,Fancoils!$B$12:$S$21,6,FALSE),IF(J75="800",HLOOKUP($W$4,Fancoils!$B$12:$S$21,7,FALSE),IF(J75="1000",HLOOKUP($W$4,Fancoils!$B$12:$S$21,8,FALSE),IF(J75="1200",HLOOKUP($W$4,Fancoils!$B$12:$S$21,9,FALSE),IF(J75="1400",HLOOKUP($W$4,Fancoils!$B$12:$S$21,10,FALSE))))))))))</f>
        <v>32.966666666666669</v>
      </c>
      <c r="X75" s="12">
        <f>IF(J75="200",HLOOKUP($X$4,Fancoils!$B$12:$S$21,2,FALSE),IF(J75="300",HLOOKUP($X$4,Fancoils!$B$12:$S$21,3,FALSE),IF(J75="400",HLOOKUP($X$4,Fancoils!$B$12:$S$21,4,FALSE),IF(J75="500",HLOOKUP($X$4,Fancoils!$B$12:$S$21,5,FALSE),IF(J75="600",HLOOKUP($X$4,Fancoils!$B$12:$S$21,6,FALSE),IF(J75="800",HLOOKUP($X$4,Fancoils!$B$12:$S$21,7,FALSE),IF(J75="1000",HLOOKUP($X$4,Fancoils!$B$12:$S$21,8,FALSE),IF(J75="1200",HLOOKUP($X$4,Fancoils!$B$12:$S$21,9,FALSE),IF(J75="1400",HLOOKUP($X$4,Fancoils!$B$12:$S$21,10,FALSE))))))))))</f>
        <v>22.166666666666668</v>
      </c>
      <c r="Y75" t="s">
        <v>119</v>
      </c>
      <c r="Z75" s="2">
        <f t="shared" si="6"/>
        <v>25.8</v>
      </c>
      <c r="AA75">
        <f>REPORTE!M76</f>
        <v>1620</v>
      </c>
    </row>
    <row r="76" spans="1:30" x14ac:dyDescent="0.25">
      <c r="A76" s="33"/>
      <c r="B76" s="10">
        <v>3</v>
      </c>
      <c r="C76" s="11" t="str">
        <f>REPORTE!A77</f>
        <v xml:space="preserve">3P 74 BOX CLINICO       </v>
      </c>
      <c r="D76" s="96" t="s">
        <v>505</v>
      </c>
      <c r="E76" s="10" t="s">
        <v>12</v>
      </c>
      <c r="F76" s="12">
        <f>REPORTE!B77</f>
        <v>5.8</v>
      </c>
      <c r="G76" s="12">
        <f>REPORTE!C77</f>
        <v>5.7</v>
      </c>
      <c r="H76" s="12">
        <f>REPORTE!J77</f>
        <v>3.8</v>
      </c>
      <c r="I76" s="12">
        <f>AA76*3.6</f>
        <v>1940.4</v>
      </c>
      <c r="J76" s="12" t="str">
        <f t="shared" ref="J76" si="87">+IF(G76&lt;1.38,"200",IF(AND(1.39&lt;G76,G76&lt;1.86),"300",IF(AND(1.87&lt;G76,G76&lt;2.48),"400",IF(AND(2.49&lt;G76,G76&lt;2.96),"500",IF(AND(2.97&lt;G76,G76&lt;3.44),"600",IF(AND(3.45&lt;G76,G76&lt;4.68),"800",IF(AND(4.69&lt;G76,G76&lt;5.37),"1000",IF(AND(5.38&lt;G76,G76&lt;7.02),"1200",IF(AND(7.1&lt;G76,G76&gt;7.92),"1400",)))))))))</f>
        <v>1200</v>
      </c>
      <c r="K76" s="10">
        <f>IF(J76="200",HLOOKUP($K$4,Fancoils!$B$12:$I$21,2,FALSE),IF(J76="300",HLOOKUP($K$4,Fancoils!$B$12:$I$21,3,FALSE),IF(J76="400",HLOOKUP($K$4,Fancoils!$B$12:$I$21,4,FALSE),IF(J76="500",HLOOKUP($K$4,Fancoils!$B$12:$I$21,5,FALSE),IF(J76="600",HLOOKUP($K$4,Fancoils!$B$12:$I$21,6,FALSE),IF(J76="800",HLOOKUP($K$4,Fancoils!$B$12:$I$21,7,FALSE),IF(J76="1000",HLOOKUP($K$4,Fancoils!$B$12:$I$21,8,FALSE),IF(J76="1200",HLOOKUP($K$4,Fancoils!$B$12:$I$21,9,FALSE),IF(J76="1400",HLOOKUP($K$4,Fancoils!$B$12:$I$21,10,FALSE))))))))))</f>
        <v>10.199999999999999</v>
      </c>
      <c r="L76" s="10">
        <f>IF(J76="200",HLOOKUP($L$4,Fancoils!$B$12:$I$21,2,FALSE),IF(J76="300",HLOOKUP($L$4,Fancoils!$B$12:$I$21,3,FALSE),IF(J76="400",HLOOKUP($L$4,Fancoils!$B$12:$I$21,4,FALSE),IF(J76="500",HLOOKUP($L$4,Fancoils!$B$12:$I$21,5,FALSE),IF(J76="600",HLOOKUP($L$4,Fancoils!$B$12:$I$21,6,FALSE),IF(J76="800",HLOOKUP($L$4,Fancoils!$B$12:$I$21,7,FALSE),IF(J76="1000",HLOOKUP($L$4,Fancoils!$B$12:$I$21,8,FALSE),IF(J76="1200",HLOOKUP($L$4,Fancoils!$B$12:$I$21,9,FALSE),IF(J76="1400",HLOOKUP($L$4,Fancoils!$B$12:$I$21,10,FALSE))))))))))</f>
        <v>7.02</v>
      </c>
      <c r="M76" s="10">
        <f>IF(J76="200",HLOOKUP($M$4,Fancoils!$B$12:$I$21,2,FALSE),IF(J76="300",HLOOKUP($M$4,Fancoils!$B$12:$I$21,3,FALSE),IF(J76="400",HLOOKUP($M$4,Fancoils!$B$12:$I$21,4,FALSE),IF(J76="500",HLOOKUP($M$4,Fancoils!$B$12:$I$21,5,FALSE),IF(J76="600",HLOOKUP($M$4,Fancoils!$B$12:$I$21,6,FALSE),IF(J76="800",HLOOKUP($M$4,Fancoils!$B$12:$I$21,7,FALSE),IF(J76="1000",HLOOKUP($M$4,Fancoils!$B$12:$I$21,8,FALSE),IF(J76="1200",HLOOKUP($M$4,Fancoils!$B$12:$I$21,9,FALSE),IF(J76="1400",HLOOKUP($M$4,Fancoils!$B$12:$I$21,10,FALSE))))))))))</f>
        <v>8.1</v>
      </c>
      <c r="N76" s="10">
        <f>IF(J76="200",HLOOKUP($N$4,Fancoils!$B$12:$I$21,2,FALSE),IF(J76="300",HLOOKUP($N$4,Fancoils!$B$12:$I$21,3,FALSE),IF(J76="400",HLOOKUP($N$4,Fancoils!$B$12:$I$21,4,FALSE),IF(J76="500",HLOOKUP($N$4,Fancoils!$B$12:$I$21,5,FALSE),IF(J76="600",HLOOKUP($N$4,Fancoils!$B$12:$I$21,6,FALSE),IF(J76="800",HLOOKUP($N$4,Fancoils!$B$12:$I$21,7,FALSE),IF(J76="1000",HLOOKUP($N$4,Fancoils!$B$12:$I$21,8,FALSE),IF(J76="1200",HLOOKUP($N$4,Fancoils!$B$12:$I$21,9,FALSE),IF(J76="1400",HLOOKUP($N$4,Fancoils!$B$12:$I$21,10,FALSE))))))))))</f>
        <v>1860</v>
      </c>
      <c r="O76" s="36">
        <f>REPORTE!P77</f>
        <v>116</v>
      </c>
      <c r="P76" s="14">
        <f t="shared" si="57"/>
        <v>417.6</v>
      </c>
      <c r="Q76" s="10">
        <f>IF(J76="200",HLOOKUP($Q$4,Fancoils!$B$12:$I$21,2,FALSE),IF(J76="300",HLOOKUP($Q$4,Fancoils!$B$12:$I$21,3,FALSE),IF(J76="400",HLOOKUP($Q$4,Fancoils!$B$12:$I$21,4,FALSE),IF(J76="500",HLOOKUP($Q$4,Fancoils!$B$12:$I$21,5,FALSE),IF(J76="600",HLOOKUP($Q$4,Fancoils!$B$12:$I$21,6,FALSE),IF(J76="800",HLOOKUP($Q$4,Fancoils!$B$12:$I$21,7,FALSE),IF(J76="1000",HLOOKUP($Q$4,Fancoils!$B$12:$I$21,8,FALSE),IF(J76="1200",HLOOKUP($Q$4,Fancoils!$B$12:$I$21,9,FALSE),IF(J76="1400",HLOOKUP($Q$4,Fancoils!$B$12:$I$21,10,FALSE))))))))))</f>
        <v>200</v>
      </c>
      <c r="R76" s="10" t="s">
        <v>50</v>
      </c>
      <c r="S76" s="10">
        <v>4</v>
      </c>
      <c r="T76" s="22">
        <f t="shared" si="58"/>
        <v>465</v>
      </c>
      <c r="U76" s="13">
        <f t="shared" si="59"/>
        <v>1442.4</v>
      </c>
      <c r="V76" s="59">
        <f t="shared" si="82"/>
        <v>7.75</v>
      </c>
      <c r="W76" s="12">
        <f>IF(J76="200",HLOOKUP($W$4,Fancoils!$B$12:$S$21,2,FALSE),IF(J76="300",HLOOKUP($W$4,Fancoils!$B$12:$S$21,3,FALSE),IF(J76="400",HLOOKUP($W$4,Fancoils!$B$12:$S$21,4,FALSE),IF(J76="500",HLOOKUP($W$4,Fancoils!$B$12:$S$21,5,FALSE),IF(J76="600",HLOOKUP($W$4,Fancoils!$B$12:$S$21,6,FALSE),IF(J76="800",HLOOKUP($W$4,Fancoils!$B$12:$S$21,7,FALSE),IF(J76="1000",HLOOKUP($W$4,Fancoils!$B$12:$S$21,8,FALSE),IF(J76="1200",HLOOKUP($W$4,Fancoils!$B$12:$S$21,9,FALSE),IF(J76="1400",HLOOKUP($W$4,Fancoils!$B$12:$S$21,10,FALSE))))))))))</f>
        <v>29.233333333333334</v>
      </c>
      <c r="X76" s="12">
        <f>IF(J76="200",HLOOKUP($X$4,Fancoils!$B$12:$S$21,2,FALSE),IF(J76="300",HLOOKUP($X$4,Fancoils!$B$12:$S$21,3,FALSE),IF(J76="400",HLOOKUP($X$4,Fancoils!$B$12:$S$21,4,FALSE),IF(J76="500",HLOOKUP($X$4,Fancoils!$B$12:$S$21,5,FALSE),IF(J76="600",HLOOKUP($X$4,Fancoils!$B$12:$S$21,6,FALSE),IF(J76="800",HLOOKUP($X$4,Fancoils!$B$12:$S$21,7,FALSE),IF(J76="1000",HLOOKUP($X$4,Fancoils!$B$12:$S$21,8,FALSE),IF(J76="1200",HLOOKUP($X$4,Fancoils!$B$12:$S$21,9,FALSE),IF(J76="1400",HLOOKUP($X$4,Fancoils!$B$12:$S$21,10,FALSE))))))))))</f>
        <v>19.333333333333332</v>
      </c>
      <c r="Y76" t="s">
        <v>121</v>
      </c>
      <c r="Z76" s="2">
        <f t="shared" si="6"/>
        <v>6.96</v>
      </c>
      <c r="AA76">
        <f>REPORTE!M77</f>
        <v>539</v>
      </c>
      <c r="AB76">
        <f>SUM(Z76:Z79)</f>
        <v>15.6</v>
      </c>
      <c r="AC76" t="s">
        <v>111</v>
      </c>
    </row>
    <row r="77" spans="1:30" x14ac:dyDescent="0.25">
      <c r="A77" s="33"/>
      <c r="B77" s="10">
        <v>3</v>
      </c>
      <c r="C77" s="11" t="str">
        <f>REPORTE!A78</f>
        <v xml:space="preserve">3P 75 BOX CLINICO       </v>
      </c>
      <c r="D77" s="97"/>
      <c r="E77" s="10"/>
      <c r="F77" s="12"/>
      <c r="G77" s="12"/>
      <c r="H77" s="12"/>
      <c r="I77" s="12"/>
      <c r="J77" s="12"/>
      <c r="K77" s="10"/>
      <c r="L77" s="10"/>
      <c r="M77" s="10"/>
      <c r="N77" s="10"/>
      <c r="O77" s="36"/>
      <c r="P77" s="14"/>
      <c r="Q77" s="10"/>
      <c r="R77" s="10"/>
      <c r="S77" s="10"/>
      <c r="T77" s="22"/>
      <c r="U77" s="13"/>
      <c r="V77" s="59">
        <f t="shared" si="82"/>
        <v>0</v>
      </c>
      <c r="W77" s="12"/>
      <c r="X77" s="12"/>
      <c r="Z77" s="2"/>
      <c r="AA77">
        <f>REPORTE!M78</f>
        <v>0</v>
      </c>
    </row>
    <row r="78" spans="1:30" x14ac:dyDescent="0.25">
      <c r="A78" s="33"/>
      <c r="B78" s="10">
        <v>3</v>
      </c>
      <c r="C78" s="11" t="str">
        <f>REPORTE!A79</f>
        <v xml:space="preserve">3P 76 BOX PSICOLOGO     </v>
      </c>
      <c r="D78" s="10" t="s">
        <v>506</v>
      </c>
      <c r="E78" s="10" t="s">
        <v>12</v>
      </c>
      <c r="F78" s="12">
        <f>REPORTE!B79</f>
        <v>1.8</v>
      </c>
      <c r="G78" s="12">
        <f>REPORTE!C79</f>
        <v>1.8</v>
      </c>
      <c r="H78" s="12">
        <f>REPORTE!J79</f>
        <v>1.6</v>
      </c>
      <c r="I78" s="12">
        <f>AA78*3.6</f>
        <v>640.80000000000007</v>
      </c>
      <c r="J78" s="12" t="str">
        <f t="shared" si="55"/>
        <v>300</v>
      </c>
      <c r="K78" s="10">
        <f>IF(J78="200",HLOOKUP($K$4,Fancoils!$B$12:$I$21,2,FALSE),IF(J78="300",HLOOKUP($K$4,Fancoils!$B$12:$I$21,3,FALSE),IF(J78="400",HLOOKUP($K$4,Fancoils!$B$12:$I$21,4,FALSE),IF(J78="500",HLOOKUP($K$4,Fancoils!$B$12:$I$21,5,FALSE),IF(J78="600",HLOOKUP($K$4,Fancoils!$B$12:$I$21,6,FALSE),IF(J78="800",HLOOKUP($K$4,Fancoils!$B$12:$I$21,7,FALSE),IF(J78="1000",HLOOKUP($K$4,Fancoils!$B$12:$I$21,8,FALSE),IF(J78="1200",HLOOKUP($K$4,Fancoils!$B$12:$I$21,9,FALSE),IF(J78="1400",HLOOKUP($K$4,Fancoils!$B$12:$I$21,10,FALSE))))))))))</f>
        <v>2.7</v>
      </c>
      <c r="L78" s="10">
        <f>IF(J78="200",HLOOKUP($L$4,Fancoils!$B$12:$I$21,2,FALSE),IF(J78="300",HLOOKUP($L$4,Fancoils!$B$12:$I$21,3,FALSE),IF(J78="400",HLOOKUP($L$4,Fancoils!$B$12:$I$21,4,FALSE),IF(J78="500",HLOOKUP($L$4,Fancoils!$B$12:$I$21,5,FALSE),IF(J78="600",HLOOKUP($L$4,Fancoils!$B$12:$I$21,6,FALSE),IF(J78="800",HLOOKUP($L$4,Fancoils!$B$12:$I$21,7,FALSE),IF(J78="1000",HLOOKUP($L$4,Fancoils!$B$12:$I$21,8,FALSE),IF(J78="1200",HLOOKUP($L$4,Fancoils!$B$12:$I$21,9,FALSE),IF(J78="1400",HLOOKUP($L$4,Fancoils!$B$12:$I$21,10,FALSE))))))))))</f>
        <v>1.86</v>
      </c>
      <c r="M78" s="10">
        <f>IF(J78="200",HLOOKUP($M$4,Fancoils!$B$12:$I$21,2,FALSE),IF(J78="300",HLOOKUP($M$4,Fancoils!$B$12:$I$21,3,FALSE),IF(J78="400",HLOOKUP($M$4,Fancoils!$B$12:$I$21,4,FALSE),IF(J78="500",HLOOKUP($M$4,Fancoils!$B$12:$I$21,5,FALSE),IF(J78="600",HLOOKUP($M$4,Fancoils!$B$12:$I$21,6,FALSE),IF(J78="800",HLOOKUP($M$4,Fancoils!$B$12:$I$21,7,FALSE),IF(J78="1000",HLOOKUP($M$4,Fancoils!$B$12:$I$21,8,FALSE),IF(J78="1200",HLOOKUP($M$4,Fancoils!$B$12:$I$21,9,FALSE),IF(J78="1400",HLOOKUP($M$4,Fancoils!$B$12:$I$21,10,FALSE))))))))))</f>
        <v>2.4</v>
      </c>
      <c r="N78" s="10">
        <f>IF(J78="200",HLOOKUP($N$4,Fancoils!$B$12:$I$21,2,FALSE),IF(J78="300",HLOOKUP($N$4,Fancoils!$B$12:$I$21,3,FALSE),IF(J78="400",HLOOKUP($N$4,Fancoils!$B$12:$I$21,4,FALSE),IF(J78="500",HLOOKUP($N$4,Fancoils!$B$12:$I$21,5,FALSE),IF(J78="600",HLOOKUP($N$4,Fancoils!$B$12:$I$21,6,FALSE),IF(J78="800",HLOOKUP($N$4,Fancoils!$B$12:$I$21,7,FALSE),IF(J78="1000",HLOOKUP($N$4,Fancoils!$B$12:$I$21,8,FALSE),IF(J78="1200",HLOOKUP($N$4,Fancoils!$B$12:$I$21,9,FALSE),IF(J78="1400",HLOOKUP($N$4,Fancoils!$B$12:$I$21,10,FALSE))))))))))</f>
        <v>510</v>
      </c>
      <c r="O78" s="36">
        <f>REPORTE!P79</f>
        <v>58</v>
      </c>
      <c r="P78" s="14">
        <f t="shared" si="57"/>
        <v>208.8</v>
      </c>
      <c r="Q78" s="10">
        <f>IF(J78="200",HLOOKUP($Q$4,Fancoils!$B$12:$I$21,2,FALSE),IF(J78="300",HLOOKUP($Q$4,Fancoils!$B$12:$I$21,3,FALSE),IF(J78="400",HLOOKUP($Q$4,Fancoils!$B$12:$I$21,4,FALSE),IF(J78="500",HLOOKUP($Q$4,Fancoils!$B$12:$I$21,5,FALSE),IF(J78="600",HLOOKUP($Q$4,Fancoils!$B$12:$I$21,6,FALSE),IF(J78="800",HLOOKUP($Q$4,Fancoils!$B$12:$I$21,7,FALSE),IF(J78="1000",HLOOKUP($Q$4,Fancoils!$B$12:$I$21,8,FALSE),IF(J78="1200",HLOOKUP($Q$4,Fancoils!$B$12:$I$21,9,FALSE),IF(J78="1400",HLOOKUP($Q$4,Fancoils!$B$12:$I$21,10,FALSE))))))))))</f>
        <v>50</v>
      </c>
      <c r="R78" s="10" t="s">
        <v>56</v>
      </c>
      <c r="S78" s="10">
        <v>2</v>
      </c>
      <c r="T78" s="22">
        <f t="shared" si="58"/>
        <v>255</v>
      </c>
      <c r="U78" s="13">
        <f t="shared" si="59"/>
        <v>301.2</v>
      </c>
      <c r="V78" s="59">
        <f t="shared" si="82"/>
        <v>4.25</v>
      </c>
      <c r="W78" s="12">
        <f>IF(J78="200",HLOOKUP($W$4,Fancoils!$B$12:$S$21,2,FALSE),IF(J78="300",HLOOKUP($W$4,Fancoils!$B$12:$S$21,3,FALSE),IF(J78="400",HLOOKUP($W$4,Fancoils!$B$12:$S$21,4,FALSE),IF(J78="500",HLOOKUP($W$4,Fancoils!$B$12:$S$21,5,FALSE),IF(J78="600",HLOOKUP($W$4,Fancoils!$B$12:$S$21,6,FALSE),IF(J78="800",HLOOKUP($W$4,Fancoils!$B$12:$S$21,7,FALSE),IF(J78="1000",HLOOKUP($W$4,Fancoils!$B$12:$S$21,8,FALSE),IF(J78="1200",HLOOKUP($W$4,Fancoils!$B$12:$S$21,9,FALSE),IF(J78="1400",HLOOKUP($W$4,Fancoils!$B$12:$S$21,10,FALSE))))))))))</f>
        <v>7.7333333333333334</v>
      </c>
      <c r="X78" s="12">
        <f>IF(J78="200",HLOOKUP($X$4,Fancoils!$B$12:$S$21,2,FALSE),IF(J78="300",HLOOKUP($X$4,Fancoils!$B$12:$S$21,3,FALSE),IF(J78="400",HLOOKUP($X$4,Fancoils!$B$12:$S$21,4,FALSE),IF(J78="500",HLOOKUP($X$4,Fancoils!$B$12:$S$21,5,FALSE),IF(J78="600",HLOOKUP($X$4,Fancoils!$B$12:$S$21,6,FALSE),IF(J78="800",HLOOKUP($X$4,Fancoils!$B$12:$S$21,7,FALSE),IF(J78="1000",HLOOKUP($X$4,Fancoils!$B$12:$S$21,8,FALSE),IF(J78="1200",HLOOKUP($X$4,Fancoils!$B$12:$S$21,9,FALSE),IF(J78="1400",HLOOKUP($X$4,Fancoils!$B$12:$S$21,10,FALSE))))))))))</f>
        <v>5.666666666666667</v>
      </c>
      <c r="Y78" t="s">
        <v>357</v>
      </c>
      <c r="Z78" s="2">
        <f t="shared" si="6"/>
        <v>3.48</v>
      </c>
      <c r="AA78">
        <f>REPORTE!M79</f>
        <v>178</v>
      </c>
    </row>
    <row r="79" spans="1:30" x14ac:dyDescent="0.25">
      <c r="A79" s="33"/>
      <c r="B79" s="10">
        <v>3</v>
      </c>
      <c r="C79" s="11" t="str">
        <f>REPORTE!A80</f>
        <v xml:space="preserve">3P 77 BOX GINECOLOGICO  </v>
      </c>
      <c r="D79" s="10" t="s">
        <v>507</v>
      </c>
      <c r="E79" s="10" t="s">
        <v>12</v>
      </c>
      <c r="F79" s="12">
        <f>REPORTE!B80</f>
        <v>3.1</v>
      </c>
      <c r="G79" s="12">
        <f>REPORTE!C80</f>
        <v>3.1</v>
      </c>
      <c r="H79" s="12">
        <f>REPORTE!J80</f>
        <v>2.5</v>
      </c>
      <c r="I79" s="12">
        <f t="shared" ref="I79:I88" si="88">AA79*3.6</f>
        <v>1094.4000000000001</v>
      </c>
      <c r="J79" s="12" t="str">
        <f t="shared" si="55"/>
        <v>600</v>
      </c>
      <c r="K79" s="10">
        <f>IF(J79="200",HLOOKUP($K$4,Fancoils!$B$12:$I$21,2,FALSE),IF(J79="300",HLOOKUP($K$4,Fancoils!$B$12:$I$21,3,FALSE),IF(J79="400",HLOOKUP($K$4,Fancoils!$B$12:$I$21,4,FALSE),IF(J79="500",HLOOKUP($K$4,Fancoils!$B$12:$I$21,5,FALSE),IF(J79="600",HLOOKUP($K$4,Fancoils!$B$12:$I$21,6,FALSE),IF(J79="800",HLOOKUP($K$4,Fancoils!$B$12:$I$21,7,FALSE),IF(J79="1000",HLOOKUP($K$4,Fancoils!$B$12:$I$21,8,FALSE),IF(J79="1200",HLOOKUP($K$4,Fancoils!$B$12:$I$21,9,FALSE),IF(J79="1400",HLOOKUP($K$4,Fancoils!$B$12:$I$21,10,FALSE))))))))))</f>
        <v>5</v>
      </c>
      <c r="L79" s="10">
        <f>IF(J79="200",HLOOKUP($L$4,Fancoils!$B$12:$I$21,2,FALSE),IF(J79="300",HLOOKUP($L$4,Fancoils!$B$12:$I$21,3,FALSE),IF(J79="400",HLOOKUP($L$4,Fancoils!$B$12:$I$21,4,FALSE),IF(J79="500",HLOOKUP($L$4,Fancoils!$B$12:$I$21,5,FALSE),IF(J79="600",HLOOKUP($L$4,Fancoils!$B$12:$I$21,6,FALSE),IF(J79="800",HLOOKUP($L$4,Fancoils!$B$12:$I$21,7,FALSE),IF(J79="1000",HLOOKUP($L$4,Fancoils!$B$12:$I$21,8,FALSE),IF(J79="1200",HLOOKUP($L$4,Fancoils!$B$12:$I$21,9,FALSE),IF(J79="1400",HLOOKUP($L$4,Fancoils!$B$12:$I$21,10,FALSE))))))))))</f>
        <v>3.44</v>
      </c>
      <c r="M79" s="10">
        <f>IF(J79="200",HLOOKUP($M$4,Fancoils!$B$12:$I$21,2,FALSE),IF(J79="300",HLOOKUP($M$4,Fancoils!$B$12:$I$21,3,FALSE),IF(J79="400",HLOOKUP($M$4,Fancoils!$B$12:$I$21,4,FALSE),IF(J79="500",HLOOKUP($M$4,Fancoils!$B$12:$I$21,5,FALSE),IF(J79="600",HLOOKUP($M$4,Fancoils!$B$12:$I$21,6,FALSE),IF(J79="800",HLOOKUP($M$4,Fancoils!$B$12:$I$21,7,FALSE),IF(J79="1000",HLOOKUP($M$4,Fancoils!$B$12:$I$21,8,FALSE),IF(J79="1200",HLOOKUP($M$4,Fancoils!$B$12:$I$21,9,FALSE),IF(J79="1400",HLOOKUP($M$4,Fancoils!$B$12:$I$21,10,FALSE))))))))))</f>
        <v>4.32</v>
      </c>
      <c r="N79" s="10">
        <f>IF(J79="200",HLOOKUP($N$4,Fancoils!$B$12:$I$21,2,FALSE),IF(J79="300",HLOOKUP($N$4,Fancoils!$B$12:$I$21,3,FALSE),IF(J79="400",HLOOKUP($N$4,Fancoils!$B$12:$I$21,4,FALSE),IF(J79="500",HLOOKUP($N$4,Fancoils!$B$12:$I$21,5,FALSE),IF(J79="600",HLOOKUP($N$4,Fancoils!$B$12:$I$21,6,FALSE),IF(J79="800",HLOOKUP($N$4,Fancoils!$B$12:$I$21,7,FALSE),IF(J79="1000",HLOOKUP($N$4,Fancoils!$B$12:$I$21,8,FALSE),IF(J79="1200",HLOOKUP($N$4,Fancoils!$B$12:$I$21,9,FALSE),IF(J79="1400",HLOOKUP($N$4,Fancoils!$B$12:$I$21,10,FALSE))))))))))</f>
        <v>1020</v>
      </c>
      <c r="O79" s="36">
        <f>REPORTE!P80</f>
        <v>86</v>
      </c>
      <c r="P79" s="14">
        <f t="shared" si="57"/>
        <v>309.60000000000002</v>
      </c>
      <c r="Q79" s="10">
        <f>IF(J79="200",HLOOKUP($Q$4,Fancoils!$B$12:$I$21,2,FALSE),IF(J79="300",HLOOKUP($Q$4,Fancoils!$B$12:$I$21,3,FALSE),IF(J79="400",HLOOKUP($Q$4,Fancoils!$B$12:$I$21,4,FALSE),IF(J79="500",HLOOKUP($Q$4,Fancoils!$B$12:$I$21,5,FALSE),IF(J79="600",HLOOKUP($Q$4,Fancoils!$B$12:$I$21,6,FALSE),IF(J79="800",HLOOKUP($Q$4,Fancoils!$B$12:$I$21,7,FALSE),IF(J79="1000",HLOOKUP($Q$4,Fancoils!$B$12:$I$21,8,FALSE),IF(J79="1200",HLOOKUP($Q$4,Fancoils!$B$12:$I$21,9,FALSE),IF(J79="1400",HLOOKUP($Q$4,Fancoils!$B$12:$I$21,10,FALSE))))))))))</f>
        <v>170</v>
      </c>
      <c r="R79" s="10" t="s">
        <v>57</v>
      </c>
      <c r="S79" s="10">
        <v>2</v>
      </c>
      <c r="T79" s="22">
        <f t="shared" si="58"/>
        <v>510</v>
      </c>
      <c r="U79" s="13">
        <f t="shared" si="59"/>
        <v>710.4</v>
      </c>
      <c r="V79" s="59">
        <f t="shared" si="82"/>
        <v>8.5</v>
      </c>
      <c r="W79" s="12">
        <f>IF(J79="200",HLOOKUP($W$4,Fancoils!$B$12:$S$21,2,FALSE),IF(J79="300",HLOOKUP($W$4,Fancoils!$B$12:$S$21,3,FALSE),IF(J79="400",HLOOKUP($W$4,Fancoils!$B$12:$S$21,4,FALSE),IF(J79="500",HLOOKUP($W$4,Fancoils!$B$12:$S$21,5,FALSE),IF(J79="600",HLOOKUP($W$4,Fancoils!$B$12:$S$21,6,FALSE),IF(J79="800",HLOOKUP($W$4,Fancoils!$B$12:$S$21,7,FALSE),IF(J79="1000",HLOOKUP($W$4,Fancoils!$B$12:$S$21,8,FALSE),IF(J79="1200",HLOOKUP($W$4,Fancoils!$B$12:$S$21,9,FALSE),IF(J79="1400",HLOOKUP($W$4,Fancoils!$B$12:$S$21,10,FALSE))))))))))</f>
        <v>14.333333333333334</v>
      </c>
      <c r="X79" s="12">
        <f>IF(J79="200",HLOOKUP($X$4,Fancoils!$B$12:$S$21,2,FALSE),IF(J79="300",HLOOKUP($X$4,Fancoils!$B$12:$S$21,3,FALSE),IF(J79="400",HLOOKUP($X$4,Fancoils!$B$12:$S$21,4,FALSE),IF(J79="500",HLOOKUP($X$4,Fancoils!$B$12:$S$21,5,FALSE),IF(J79="600",HLOOKUP($X$4,Fancoils!$B$12:$S$21,6,FALSE),IF(J79="800",HLOOKUP($X$4,Fancoils!$B$12:$S$21,7,FALSE),IF(J79="1000",HLOOKUP($X$4,Fancoils!$B$12:$S$21,8,FALSE),IF(J79="1200",HLOOKUP($X$4,Fancoils!$B$12:$S$21,9,FALSE),IF(J79="1400",HLOOKUP($X$4,Fancoils!$B$12:$S$21,10,FALSE))))))))))</f>
        <v>10.333333333333334</v>
      </c>
      <c r="Y79" t="s">
        <v>357</v>
      </c>
      <c r="Z79" s="2">
        <f t="shared" ref="Z79:Z88" si="89">P79/60</f>
        <v>5.16</v>
      </c>
      <c r="AA79">
        <f>REPORTE!M80</f>
        <v>304</v>
      </c>
    </row>
    <row r="80" spans="1:30" x14ac:dyDescent="0.25">
      <c r="A80" s="33"/>
      <c r="B80" s="10">
        <v>3</v>
      </c>
      <c r="C80" s="11" t="str">
        <f>REPORTE!A81</f>
        <v xml:space="preserve">3P 78 CAFETERIA         </v>
      </c>
      <c r="D80" s="10" t="s">
        <v>508</v>
      </c>
      <c r="E80" s="10" t="s">
        <v>12</v>
      </c>
      <c r="F80" s="12">
        <f>REPORTE!B81</f>
        <v>13.9</v>
      </c>
      <c r="G80" s="12">
        <f>REPORTE!C81</f>
        <v>12.3</v>
      </c>
      <c r="H80" s="12">
        <f>REPORTE!J81</f>
        <v>6.3</v>
      </c>
      <c r="I80" s="12">
        <f t="shared" si="88"/>
        <v>3898.8</v>
      </c>
      <c r="J80" s="12" t="str">
        <f t="shared" si="55"/>
        <v>1400</v>
      </c>
      <c r="K80" s="10">
        <f>IF(J80="200",HLOOKUP($K$4,Fancoils!$B$12:$I$21,2,FALSE),IF(J80="300",HLOOKUP($K$4,Fancoils!$B$12:$I$21,3,FALSE),IF(J80="400",HLOOKUP($K$4,Fancoils!$B$12:$I$21,4,FALSE),IF(J80="500",HLOOKUP($K$4,Fancoils!$B$12:$I$21,5,FALSE),IF(J80="600",HLOOKUP($K$4,Fancoils!$B$12:$I$21,6,FALSE),IF(J80="800",HLOOKUP($K$4,Fancoils!$B$12:$I$21,7,FALSE),IF(J80="1000",HLOOKUP($K$4,Fancoils!$B$12:$I$21,8,FALSE),IF(J80="1200",HLOOKUP($K$4,Fancoils!$B$12:$I$21,9,FALSE),IF(J80="1400",HLOOKUP($K$4,Fancoils!$B$12:$I$21,10,FALSE))))))))))</f>
        <v>11.5</v>
      </c>
      <c r="L80" s="10">
        <f>IF(J80="200",HLOOKUP($L$4,Fancoils!$B$12:$I$21,2,FALSE),IF(J80="300",HLOOKUP($L$4,Fancoils!$B$12:$I$21,3,FALSE),IF(J80="400",HLOOKUP($L$4,Fancoils!$B$12:$I$21,4,FALSE),IF(J80="500",HLOOKUP($L$4,Fancoils!$B$12:$I$21,5,FALSE),IF(J80="600",HLOOKUP($L$4,Fancoils!$B$12:$I$21,6,FALSE),IF(J80="800",HLOOKUP($L$4,Fancoils!$B$12:$I$21,7,FALSE),IF(J80="1000",HLOOKUP($L$4,Fancoils!$B$12:$I$21,8,FALSE),IF(J80="1200",HLOOKUP($L$4,Fancoils!$B$12:$I$21,9,FALSE),IF(J80="1400",HLOOKUP($L$4,Fancoils!$B$12:$I$21,10,FALSE))))))))))</f>
        <v>7.92</v>
      </c>
      <c r="M80" s="10">
        <f>IF(J80="200",HLOOKUP($M$4,Fancoils!$B$12:$I$21,2,FALSE),IF(J80="300",HLOOKUP($M$4,Fancoils!$B$12:$I$21,3,FALSE),IF(J80="400",HLOOKUP($M$4,Fancoils!$B$12:$I$21,4,FALSE),IF(J80="500",HLOOKUP($M$4,Fancoils!$B$12:$I$21,5,FALSE),IF(J80="600",HLOOKUP($M$4,Fancoils!$B$12:$I$21,6,FALSE),IF(J80="800",HLOOKUP($M$4,Fancoils!$B$12:$I$21,7,FALSE),IF(J80="1000",HLOOKUP($M$4,Fancoils!$B$12:$I$21,8,FALSE),IF(J80="1200",HLOOKUP($M$4,Fancoils!$B$12:$I$21,9,FALSE),IF(J80="1400",HLOOKUP($M$4,Fancoils!$B$12:$I$21,10,FALSE))))))))))</f>
        <v>9.3000000000000007</v>
      </c>
      <c r="N80" s="10">
        <f>IF(J80="200",HLOOKUP($N$4,Fancoils!$B$12:$I$21,2,FALSE),IF(J80="300",HLOOKUP($N$4,Fancoils!$B$12:$I$21,3,FALSE),IF(J80="400",HLOOKUP($N$4,Fancoils!$B$12:$I$21,4,FALSE),IF(J80="500",HLOOKUP($N$4,Fancoils!$B$12:$I$21,5,FALSE),IF(J80="600",HLOOKUP($N$4,Fancoils!$B$12:$I$21,6,FALSE),IF(J80="800",HLOOKUP($N$4,Fancoils!$B$12:$I$21,7,FALSE),IF(J80="1000",HLOOKUP($N$4,Fancoils!$B$12:$I$21,8,FALSE),IF(J80="1200",HLOOKUP($N$4,Fancoils!$B$12:$I$21,9,FALSE),IF(J80="1400",HLOOKUP($N$4,Fancoils!$B$12:$I$21,10,FALSE))))))))))</f>
        <v>2380</v>
      </c>
      <c r="O80" s="36">
        <f>REPORTE!P81</f>
        <v>203</v>
      </c>
      <c r="P80" s="14">
        <f t="shared" si="57"/>
        <v>730.80000000000007</v>
      </c>
      <c r="Q80" s="10">
        <f>IF(J80="200",HLOOKUP($Q$4,Fancoils!$B$12:$I$21,2,FALSE),IF(J80="300",HLOOKUP($Q$4,Fancoils!$B$12:$I$21,3,FALSE),IF(J80="400",HLOOKUP($Q$4,Fancoils!$B$12:$I$21,4,FALSE),IF(J80="500",HLOOKUP($Q$4,Fancoils!$B$12:$I$21,5,FALSE),IF(J80="600",HLOOKUP($Q$4,Fancoils!$B$12:$I$21,6,FALSE),IF(J80="800",HLOOKUP($Q$4,Fancoils!$B$12:$I$21,7,FALSE),IF(J80="1000",HLOOKUP($Q$4,Fancoils!$B$12:$I$21,8,FALSE),IF(J80="1200",HLOOKUP($Q$4,Fancoils!$B$12:$I$21,9,FALSE),IF(J80="1400",HLOOKUP($Q$4,Fancoils!$B$12:$I$21,10,FALSE))))))))))</f>
        <v>240</v>
      </c>
      <c r="R80" s="10" t="s">
        <v>58</v>
      </c>
      <c r="S80" s="10">
        <v>6</v>
      </c>
      <c r="T80" s="72">
        <f t="shared" si="58"/>
        <v>396.66666666666669</v>
      </c>
      <c r="U80" s="13">
        <f t="shared" si="59"/>
        <v>1649.1999999999998</v>
      </c>
      <c r="V80" s="59">
        <f t="shared" si="82"/>
        <v>6.6111111111111116</v>
      </c>
      <c r="W80" s="12">
        <f>IF(J80="200",HLOOKUP($W$4,Fancoils!$B$12:$S$21,2,FALSE),IF(J80="300",HLOOKUP($W$4,Fancoils!$B$12:$S$21,3,FALSE),IF(J80="400",HLOOKUP($W$4,Fancoils!$B$12:$S$21,4,FALSE),IF(J80="500",HLOOKUP($W$4,Fancoils!$B$12:$S$21,5,FALSE),IF(J80="600",HLOOKUP($W$4,Fancoils!$B$12:$S$21,6,FALSE),IF(J80="800",HLOOKUP($W$4,Fancoils!$B$12:$S$21,7,FALSE),IF(J80="1000",HLOOKUP($W$4,Fancoils!$B$12:$S$21,8,FALSE),IF(J80="1200",HLOOKUP($W$4,Fancoils!$B$12:$S$21,9,FALSE),IF(J80="1400",HLOOKUP($W$4,Fancoils!$B$12:$S$21,10,FALSE))))))))))</f>
        <v>32.966666666666669</v>
      </c>
      <c r="X80" s="12">
        <f>IF(J80="200",HLOOKUP($X$4,Fancoils!$B$12:$S$21,2,FALSE),IF(J80="300",HLOOKUP($X$4,Fancoils!$B$12:$S$21,3,FALSE),IF(J80="400",HLOOKUP($X$4,Fancoils!$B$12:$S$21,4,FALSE),IF(J80="500",HLOOKUP($X$4,Fancoils!$B$12:$S$21,5,FALSE),IF(J80="600",HLOOKUP($X$4,Fancoils!$B$12:$S$21,6,FALSE),IF(J80="800",HLOOKUP($X$4,Fancoils!$B$12:$S$21,7,FALSE),IF(J80="1000",HLOOKUP($X$4,Fancoils!$B$12:$S$21,8,FALSE),IF(J80="1200",HLOOKUP($X$4,Fancoils!$B$12:$S$21,9,FALSE),IF(J80="1400",HLOOKUP($X$4,Fancoils!$B$12:$S$21,10,FALSE))))))))))</f>
        <v>22.166666666666668</v>
      </c>
      <c r="Y80" t="s">
        <v>111</v>
      </c>
      <c r="Z80" s="2">
        <f t="shared" si="89"/>
        <v>12.180000000000001</v>
      </c>
      <c r="AA80">
        <f>REPORTE!M81</f>
        <v>1083</v>
      </c>
      <c r="AB80">
        <f>SUM(Z80:Z83)</f>
        <v>14.340000000000002</v>
      </c>
    </row>
    <row r="81" spans="1:30" s="33" customFormat="1" x14ac:dyDescent="0.25">
      <c r="B81" s="10">
        <v>3</v>
      </c>
      <c r="C81" s="11" t="str">
        <f>REPORTE!A82</f>
        <v xml:space="preserve">3P 79 SALA LAC FUNC     </v>
      </c>
      <c r="D81" s="10" t="s">
        <v>509</v>
      </c>
      <c r="E81" s="10" t="s">
        <v>12</v>
      </c>
      <c r="F81" s="12">
        <f>REPORTE!B82</f>
        <v>1.4</v>
      </c>
      <c r="G81" s="12">
        <f>REPORTE!C82</f>
        <v>1.4</v>
      </c>
      <c r="H81" s="12">
        <f>REPORTE!J82</f>
        <v>0.3</v>
      </c>
      <c r="I81" s="12">
        <f t="shared" si="88"/>
        <v>410.40000000000003</v>
      </c>
      <c r="J81" s="12" t="str">
        <f t="shared" si="55"/>
        <v>300</v>
      </c>
      <c r="K81" s="10">
        <f>IF(J81="200",HLOOKUP($K$4,Fancoils!$B$12:$I$21,2,FALSE),IF(J81="300",HLOOKUP($K$4,Fancoils!$B$12:$I$21,3,FALSE),IF(J81="400",HLOOKUP($K$4,Fancoils!$B$12:$I$21,4,FALSE),IF(J81="500",HLOOKUP($K$4,Fancoils!$B$12:$I$21,5,FALSE),IF(J81="600",HLOOKUP($K$4,Fancoils!$B$12:$I$21,6,FALSE),IF(J81="800",HLOOKUP($K$4,Fancoils!$B$12:$I$21,7,FALSE),IF(J81="1000",HLOOKUP($K$4,Fancoils!$B$12:$I$21,8,FALSE),IF(J81="1200",HLOOKUP($K$4,Fancoils!$B$12:$I$21,9,FALSE),IF(J81="1400",HLOOKUP($K$4,Fancoils!$B$12:$I$21,10,FALSE))))))))))</f>
        <v>2.7</v>
      </c>
      <c r="L81" s="10">
        <f>IF(J81="200",HLOOKUP($L$4,Fancoils!$B$12:$I$21,2,FALSE),IF(J81="300",HLOOKUP($L$4,Fancoils!$B$12:$I$21,3,FALSE),IF(J81="400",HLOOKUP($L$4,Fancoils!$B$12:$I$21,4,FALSE),IF(J81="500",HLOOKUP($L$4,Fancoils!$B$12:$I$21,5,FALSE),IF(J81="600",HLOOKUP($L$4,Fancoils!$B$12:$I$21,6,FALSE),IF(J81="800",HLOOKUP($L$4,Fancoils!$B$12:$I$21,7,FALSE),IF(J81="1000",HLOOKUP($L$4,Fancoils!$B$12:$I$21,8,FALSE),IF(J81="1200",HLOOKUP($L$4,Fancoils!$B$12:$I$21,9,FALSE),IF(J81="1400",HLOOKUP($L$4,Fancoils!$B$12:$I$21,10,FALSE))))))))))</f>
        <v>1.86</v>
      </c>
      <c r="M81" s="10">
        <f>IF(J81="200",HLOOKUP($M$4,Fancoils!$B$12:$I$21,2,FALSE),IF(J81="300",HLOOKUP($M$4,Fancoils!$B$12:$I$21,3,FALSE),IF(J81="400",HLOOKUP($M$4,Fancoils!$B$12:$I$21,4,FALSE),IF(J81="500",HLOOKUP($M$4,Fancoils!$B$12:$I$21,5,FALSE),IF(J81="600",HLOOKUP($M$4,Fancoils!$B$12:$I$21,6,FALSE),IF(J81="800",HLOOKUP($M$4,Fancoils!$B$12:$I$21,7,FALSE),IF(J81="1000",HLOOKUP($M$4,Fancoils!$B$12:$I$21,8,FALSE),IF(J81="1200",HLOOKUP($M$4,Fancoils!$B$12:$I$21,9,FALSE),IF(J81="1400",HLOOKUP($M$4,Fancoils!$B$12:$I$21,10,FALSE))))))))))</f>
        <v>2.4</v>
      </c>
      <c r="N81" s="10">
        <f>IF(J81="200",HLOOKUP($N$4,Fancoils!$B$12:$I$21,2,FALSE),IF(J81="300",HLOOKUP($N$4,Fancoils!$B$12:$I$21,3,FALSE),IF(J81="400",HLOOKUP($N$4,Fancoils!$B$12:$I$21,4,FALSE),IF(J81="500",HLOOKUP($N$4,Fancoils!$B$12:$I$21,5,FALSE),IF(J81="600",HLOOKUP($N$4,Fancoils!$B$12:$I$21,6,FALSE),IF(J81="800",HLOOKUP($N$4,Fancoils!$B$12:$I$21,7,FALSE),IF(J81="1000",HLOOKUP($N$4,Fancoils!$B$12:$I$21,8,FALSE),IF(J81="1200",HLOOKUP($N$4,Fancoils!$B$12:$I$21,9,FALSE),IF(J81="1400",HLOOKUP($N$4,Fancoils!$B$12:$I$21,10,FALSE))))))))))</f>
        <v>510</v>
      </c>
      <c r="O81" s="36">
        <f>REPORTE!P82</f>
        <v>6</v>
      </c>
      <c r="P81" s="36">
        <f t="shared" si="57"/>
        <v>21.6</v>
      </c>
      <c r="Q81" s="10">
        <f>IF(J81="200",HLOOKUP($Q$4,Fancoils!$B$12:$I$21,2,FALSE),IF(J81="300",HLOOKUP($Q$4,Fancoils!$B$12:$I$21,3,FALSE),IF(J81="400",HLOOKUP($Q$4,Fancoils!$B$12:$I$21,4,FALSE),IF(J81="500",HLOOKUP($Q$4,Fancoils!$B$12:$I$21,5,FALSE),IF(J81="600",HLOOKUP($Q$4,Fancoils!$B$12:$I$21,6,FALSE),IF(J81="800",HLOOKUP($Q$4,Fancoils!$B$12:$I$21,7,FALSE),IF(J81="1000",HLOOKUP($Q$4,Fancoils!$B$12:$I$21,8,FALSE),IF(J81="1200",HLOOKUP($Q$4,Fancoils!$B$12:$I$21,9,FALSE),IF(J81="1400",HLOOKUP($Q$4,Fancoils!$B$12:$I$21,10,FALSE))))))))))</f>
        <v>50</v>
      </c>
      <c r="R81" s="17" t="s">
        <v>18</v>
      </c>
      <c r="S81" s="17">
        <v>2</v>
      </c>
      <c r="T81" s="37">
        <f t="shared" si="58"/>
        <v>255</v>
      </c>
      <c r="U81" s="20">
        <f t="shared" si="59"/>
        <v>488.4</v>
      </c>
      <c r="V81" s="59">
        <f t="shared" si="82"/>
        <v>4.25</v>
      </c>
      <c r="W81" s="12">
        <f>IF(J81="200",HLOOKUP($W$4,Fancoils!$B$12:$S$21,2,FALSE),IF(J81="300",HLOOKUP($W$4,Fancoils!$B$12:$S$21,3,FALSE),IF(J81="400",HLOOKUP($W$4,Fancoils!$B$12:$S$21,4,FALSE),IF(J81="500",HLOOKUP($W$4,Fancoils!$B$12:$S$21,5,FALSE),IF(J81="600",HLOOKUP($W$4,Fancoils!$B$12:$S$21,6,FALSE),IF(J81="800",HLOOKUP($W$4,Fancoils!$B$12:$S$21,7,FALSE),IF(J81="1000",HLOOKUP($W$4,Fancoils!$B$12:$S$21,8,FALSE),IF(J81="1200",HLOOKUP($W$4,Fancoils!$B$12:$S$21,9,FALSE),IF(J81="1400",HLOOKUP($W$4,Fancoils!$B$12:$S$21,10,FALSE))))))))))</f>
        <v>7.7333333333333334</v>
      </c>
      <c r="X81" s="12">
        <f>IF(J81="200",HLOOKUP($X$4,Fancoils!$B$12:$S$21,2,FALSE),IF(J81="300",HLOOKUP($X$4,Fancoils!$B$12:$S$21,3,FALSE),IF(J81="400",HLOOKUP($X$4,Fancoils!$B$12:$S$21,4,FALSE),IF(J81="500",HLOOKUP($X$4,Fancoils!$B$12:$S$21,5,FALSE),IF(J81="600",HLOOKUP($X$4,Fancoils!$B$12:$S$21,6,FALSE),IF(J81="800",HLOOKUP($X$4,Fancoils!$B$12:$S$21,7,FALSE),IF(J81="1000",HLOOKUP($X$4,Fancoils!$B$12:$S$21,8,FALSE),IF(J81="1200",HLOOKUP($X$4,Fancoils!$B$12:$S$21,9,FALSE),IF(J81="1400",HLOOKUP($X$4,Fancoils!$B$12:$S$21,10,FALSE))))))))))</f>
        <v>5.666666666666667</v>
      </c>
      <c r="Y81" s="33" t="s">
        <v>357</v>
      </c>
      <c r="Z81" s="2">
        <f t="shared" si="89"/>
        <v>0.36000000000000004</v>
      </c>
      <c r="AA81">
        <f>REPORTE!M82</f>
        <v>114</v>
      </c>
    </row>
    <row r="82" spans="1:30" ht="16.149999999999999" customHeight="1" x14ac:dyDescent="0.25">
      <c r="A82" s="33"/>
      <c r="B82" s="10">
        <v>3</v>
      </c>
      <c r="C82" s="11" t="str">
        <f>REPORTE!A83</f>
        <v>3P 80 OFICINA TEC SIGGES</v>
      </c>
      <c r="D82" s="10" t="s">
        <v>510</v>
      </c>
      <c r="E82" s="10" t="s">
        <v>12</v>
      </c>
      <c r="F82" s="12">
        <f>REPORTE!B83</f>
        <v>2.9</v>
      </c>
      <c r="G82" s="12">
        <f>REPORTE!C83</f>
        <v>2.8</v>
      </c>
      <c r="H82" s="12">
        <f>REPORTE!J83</f>
        <v>0.7</v>
      </c>
      <c r="I82" s="12">
        <f t="shared" si="88"/>
        <v>849.6</v>
      </c>
      <c r="J82" s="12" t="str">
        <f t="shared" ref="J82:J105" si="90">+IF(G82&lt;1.38,"200",IF(AND(1.39&lt;G82,G82&lt;1.86),"300",IF(AND(1.87&lt;G82,G82&lt;2.48),"400",IF(AND(2.49&lt;G82,G82&lt;2.96),"500",IF(AND(2.97&lt;G82,G82&lt;3.44),"600",IF(AND(3.45&lt;G82,G82&lt;4.68),"800",IF(AND(4.69&lt;G82,G82&lt;5.37),"1000",IF(AND(5.38&lt;G82,G82&lt;7.02),"1200",IF(AND(7.1&lt;G82,G82&gt;7.92),"1400",)))))))))</f>
        <v>500</v>
      </c>
      <c r="K82" s="10">
        <f>IF(J82="200",HLOOKUP($K$4,Fancoils!$B$12:$I$21,2,FALSE),IF(J82="300",HLOOKUP($K$4,Fancoils!$B$12:$I$21,3,FALSE),IF(J82="400",HLOOKUP($K$4,Fancoils!$B$12:$I$21,4,FALSE),IF(J82="500",HLOOKUP($K$4,Fancoils!$B$12:$I$21,5,FALSE),IF(J82="600",HLOOKUP($K$4,Fancoils!$B$12:$I$21,6,FALSE),IF(J82="800",HLOOKUP($K$4,Fancoils!$B$12:$I$21,7,FALSE),IF(J82="1000",HLOOKUP($K$4,Fancoils!$B$12:$I$21,8,FALSE),IF(J82="1200",HLOOKUP($K$4,Fancoils!$B$12:$I$21,9,FALSE),IF(J82="1400",HLOOKUP($K$4,Fancoils!$B$12:$I$21,10,FALSE))))))))))</f>
        <v>4.3</v>
      </c>
      <c r="L82" s="10">
        <f>IF(J82="200",HLOOKUP($L$4,Fancoils!$B$12:$I$21,2,FALSE),IF(J82="300",HLOOKUP($L$4,Fancoils!$B$12:$I$21,3,FALSE),IF(J82="400",HLOOKUP($L$4,Fancoils!$B$12:$I$21,4,FALSE),IF(J82="500",HLOOKUP($L$4,Fancoils!$B$12:$I$21,5,FALSE),IF(J82="600",HLOOKUP($L$4,Fancoils!$B$12:$I$21,6,FALSE),IF(J82="800",HLOOKUP($L$4,Fancoils!$B$12:$I$21,7,FALSE),IF(J82="1000",HLOOKUP($L$4,Fancoils!$B$12:$I$21,8,FALSE),IF(J82="1200",HLOOKUP($L$4,Fancoils!$B$12:$I$21,9,FALSE),IF(J82="1400",HLOOKUP($L$4,Fancoils!$B$12:$I$21,10,FALSE))))))))))</f>
        <v>2.96</v>
      </c>
      <c r="M82" s="10">
        <f>IF(J82="200",HLOOKUP($M$4,Fancoils!$B$12:$I$21,2,FALSE),IF(J82="300",HLOOKUP($M$4,Fancoils!$B$12:$I$21,3,FALSE),IF(J82="400",HLOOKUP($M$4,Fancoils!$B$12:$I$21,4,FALSE),IF(J82="500",HLOOKUP($M$4,Fancoils!$B$12:$I$21,5,FALSE),IF(J82="600",HLOOKUP($M$4,Fancoils!$B$12:$I$21,6,FALSE),IF(J82="800",HLOOKUP($M$4,Fancoils!$B$12:$I$21,7,FALSE),IF(J82="1000",HLOOKUP($M$4,Fancoils!$B$12:$I$21,8,FALSE),IF(J82="1200",HLOOKUP($M$4,Fancoils!$B$12:$I$21,9,FALSE),IF(J82="1400",HLOOKUP($M$4,Fancoils!$B$12:$I$21,10,FALSE))))))))))</f>
        <v>3.42</v>
      </c>
      <c r="N82" s="10">
        <f>IF(J82="200",HLOOKUP($N$4,Fancoils!$B$12:$I$21,2,FALSE),IF(J82="300",HLOOKUP($N$4,Fancoils!$B$12:$I$21,3,FALSE),IF(J82="400",HLOOKUP($N$4,Fancoils!$B$12:$I$21,4,FALSE),IF(J82="500",HLOOKUP($N$4,Fancoils!$B$12:$I$21,5,FALSE),IF(J82="600",HLOOKUP($N$4,Fancoils!$B$12:$I$21,6,FALSE),IF(J82="800",HLOOKUP($N$4,Fancoils!$B$12:$I$21,7,FALSE),IF(J82="1000",HLOOKUP($N$4,Fancoils!$B$12:$I$21,8,FALSE),IF(J82="1200",HLOOKUP($N$4,Fancoils!$B$12:$I$21,9,FALSE),IF(J82="1400",HLOOKUP($N$4,Fancoils!$B$12:$I$21,10,FALSE))))))))))</f>
        <v>850</v>
      </c>
      <c r="O82" s="36">
        <f>REPORTE!P83</f>
        <v>14</v>
      </c>
      <c r="P82" s="14">
        <f t="shared" si="57"/>
        <v>50.4</v>
      </c>
      <c r="Q82" s="10">
        <f>IF(J82="200",HLOOKUP($Q$4,Fancoils!$B$12:$I$21,2,FALSE),IF(J82="300",HLOOKUP($Q$4,Fancoils!$B$12:$I$21,3,FALSE),IF(J82="400",HLOOKUP($Q$4,Fancoils!$B$12:$I$21,4,FALSE),IF(J82="500",HLOOKUP($Q$4,Fancoils!$B$12:$I$21,5,FALSE),IF(J82="600",HLOOKUP($Q$4,Fancoils!$B$12:$I$21,6,FALSE),IF(J82="800",HLOOKUP($Q$4,Fancoils!$B$12:$I$21,7,FALSE),IF(J82="1000",HLOOKUP($Q$4,Fancoils!$B$12:$I$21,8,FALSE),IF(J82="1200",HLOOKUP($Q$4,Fancoils!$B$12:$I$21,9,FALSE),IF(J82="1400",HLOOKUP($Q$4,Fancoils!$B$12:$I$21,10,FALSE))))))))))</f>
        <v>95</v>
      </c>
      <c r="R82" s="10" t="s">
        <v>18</v>
      </c>
      <c r="S82" s="10">
        <v>2</v>
      </c>
      <c r="T82" s="22">
        <f t="shared" si="58"/>
        <v>425</v>
      </c>
      <c r="U82" s="13">
        <f t="shared" si="59"/>
        <v>799.6</v>
      </c>
      <c r="V82" s="59">
        <f t="shared" si="82"/>
        <v>7.083333333333333</v>
      </c>
      <c r="W82" s="12">
        <f>IF(J82="200",HLOOKUP($W$4,Fancoils!$B$12:$S$21,2,FALSE),IF(J82="300",HLOOKUP($W$4,Fancoils!$B$12:$S$21,3,FALSE),IF(J82="400",HLOOKUP($W$4,Fancoils!$B$12:$S$21,4,FALSE),IF(J82="500",HLOOKUP($W$4,Fancoils!$B$12:$S$21,5,FALSE),IF(J82="600",HLOOKUP($W$4,Fancoils!$B$12:$S$21,6,FALSE),IF(J82="800",HLOOKUP($W$4,Fancoils!$B$12:$S$21,7,FALSE),IF(J82="1000",HLOOKUP($W$4,Fancoils!$B$12:$S$21,8,FALSE),IF(J82="1200",HLOOKUP($W$4,Fancoils!$B$12:$S$21,9,FALSE),IF(J82="1400",HLOOKUP($W$4,Fancoils!$B$12:$S$21,10,FALSE))))))))))</f>
        <v>12.333333333333334</v>
      </c>
      <c r="X82" s="12">
        <f>IF(J82="200",HLOOKUP($X$4,Fancoils!$B$12:$S$21,2,FALSE),IF(J82="300",HLOOKUP($X$4,Fancoils!$B$12:$S$21,3,FALSE),IF(J82="400",HLOOKUP($X$4,Fancoils!$B$12:$S$21,4,FALSE),IF(J82="500",HLOOKUP($X$4,Fancoils!$B$12:$S$21,5,FALSE),IF(J82="600",HLOOKUP($X$4,Fancoils!$B$12:$S$21,6,FALSE),IF(J82="800",HLOOKUP($X$4,Fancoils!$B$12:$S$21,7,FALSE),IF(J82="1000",HLOOKUP($X$4,Fancoils!$B$12:$S$21,8,FALSE),IF(J82="1200",HLOOKUP($X$4,Fancoils!$B$12:$S$21,9,FALSE),IF(J82="1400",HLOOKUP($X$4,Fancoils!$B$12:$S$21,10,FALSE))))))))))</f>
        <v>8.3333333333333339</v>
      </c>
      <c r="Y82" s="33" t="s">
        <v>357</v>
      </c>
      <c r="Z82" s="2">
        <f t="shared" si="89"/>
        <v>0.84</v>
      </c>
      <c r="AA82">
        <f>REPORTE!M83</f>
        <v>236</v>
      </c>
      <c r="AB82" t="s">
        <v>375</v>
      </c>
      <c r="AC82">
        <f>AB80+AB84+AC52</f>
        <v>124.65</v>
      </c>
      <c r="AD82" t="s">
        <v>373</v>
      </c>
    </row>
    <row r="83" spans="1:30" s="33" customFormat="1" x14ac:dyDescent="0.25">
      <c r="B83" s="17">
        <v>3</v>
      </c>
      <c r="C83" s="34" t="str">
        <f>REPORTE!A84</f>
        <v xml:space="preserve">3P 81 SALA INFORMES PRO </v>
      </c>
      <c r="D83" s="10" t="s">
        <v>511</v>
      </c>
      <c r="E83" s="17" t="s">
        <v>12</v>
      </c>
      <c r="F83" s="35">
        <f>REPORTE!B84</f>
        <v>3.4</v>
      </c>
      <c r="G83" s="35">
        <f>REPORTE!C84</f>
        <v>3.3</v>
      </c>
      <c r="H83" s="35">
        <f>REPORTE!J84</f>
        <v>0.8</v>
      </c>
      <c r="I83" s="35">
        <f t="shared" si="88"/>
        <v>1029.6000000000001</v>
      </c>
      <c r="J83" s="35" t="str">
        <f t="shared" si="90"/>
        <v>600</v>
      </c>
      <c r="K83" s="17">
        <f>IF(J83="200",HLOOKUP($K$4,Fancoils!$B$12:$I$21,2,FALSE),IF(J83="300",HLOOKUP($K$4,Fancoils!$B$12:$I$21,3,FALSE),IF(J83="400",HLOOKUP($K$4,Fancoils!$B$12:$I$21,4,FALSE),IF(J83="500",HLOOKUP($K$4,Fancoils!$B$12:$I$21,5,FALSE),IF(J83="600",HLOOKUP($K$4,Fancoils!$B$12:$I$21,6,FALSE),IF(J83="800",HLOOKUP($K$4,Fancoils!$B$12:$I$21,7,FALSE),IF(J83="1000",HLOOKUP($K$4,Fancoils!$B$12:$I$21,8,FALSE),IF(J83="1200",HLOOKUP($K$4,Fancoils!$B$12:$I$21,9,FALSE),IF(J83="1400",HLOOKUP($K$4,Fancoils!$B$12:$I$21,10,FALSE))))))))))</f>
        <v>5</v>
      </c>
      <c r="L83" s="17">
        <f>IF(J83="200",HLOOKUP($L$4,Fancoils!$B$12:$I$21,2,FALSE),IF(J83="300",HLOOKUP($L$4,Fancoils!$B$12:$I$21,3,FALSE),IF(J83="400",HLOOKUP($L$4,Fancoils!$B$12:$I$21,4,FALSE),IF(J83="500",HLOOKUP($L$4,Fancoils!$B$12:$I$21,5,FALSE),IF(J83="600",HLOOKUP($L$4,Fancoils!$B$12:$I$21,6,FALSE),IF(J83="800",HLOOKUP($L$4,Fancoils!$B$12:$I$21,7,FALSE),IF(J83="1000",HLOOKUP($L$4,Fancoils!$B$12:$I$21,8,FALSE),IF(J83="1200",HLOOKUP($L$4,Fancoils!$B$12:$I$21,9,FALSE),IF(J83="1400",HLOOKUP($L$4,Fancoils!$B$12:$I$21,10,FALSE))))))))))</f>
        <v>3.44</v>
      </c>
      <c r="M83" s="17">
        <f>IF(J83="200",HLOOKUP($M$4,Fancoils!$B$12:$I$21,2,FALSE),IF(J83="300",HLOOKUP($M$4,Fancoils!$B$12:$I$21,3,FALSE),IF(J83="400",HLOOKUP($M$4,Fancoils!$B$12:$I$21,4,FALSE),IF(J83="500",HLOOKUP($M$4,Fancoils!$B$12:$I$21,5,FALSE),IF(J83="600",HLOOKUP($M$4,Fancoils!$B$12:$I$21,6,FALSE),IF(J83="800",HLOOKUP($M$4,Fancoils!$B$12:$I$21,7,FALSE),IF(J83="1000",HLOOKUP($M$4,Fancoils!$B$12:$I$21,8,FALSE),IF(J83="1200",HLOOKUP($M$4,Fancoils!$B$12:$I$21,9,FALSE),IF(J83="1400",HLOOKUP($M$4,Fancoils!$B$12:$I$21,10,FALSE))))))))))</f>
        <v>4.32</v>
      </c>
      <c r="N83" s="17">
        <f>IF(J83="200",HLOOKUP($N$4,Fancoils!$B$12:$I$21,2,FALSE),IF(J83="300",HLOOKUP($N$4,Fancoils!$B$12:$I$21,3,FALSE),IF(J83="400",HLOOKUP($N$4,Fancoils!$B$12:$I$21,4,FALSE),IF(J83="500",HLOOKUP($N$4,Fancoils!$B$12:$I$21,5,FALSE),IF(J83="600",HLOOKUP($N$4,Fancoils!$B$12:$I$21,6,FALSE),IF(J83="800",HLOOKUP($N$4,Fancoils!$B$12:$I$21,7,FALSE),IF(J83="1000",HLOOKUP($N$4,Fancoils!$B$12:$I$21,8,FALSE),IF(J83="1200",HLOOKUP($N$4,Fancoils!$B$12:$I$21,9,FALSE),IF(J83="1400",HLOOKUP($N$4,Fancoils!$B$12:$I$21,10,FALSE))))))))))</f>
        <v>1020</v>
      </c>
      <c r="O83" s="36">
        <f>REPORTE!P84</f>
        <v>16</v>
      </c>
      <c r="P83" s="36">
        <f>O83*3.6</f>
        <v>57.6</v>
      </c>
      <c r="Q83" s="17">
        <f>IF(J83="200",HLOOKUP($Q$4,Fancoils!$B$12:$I$21,2,FALSE),IF(J83="300",HLOOKUP($Q$4,Fancoils!$B$12:$I$21,3,FALSE),IF(J83="400",HLOOKUP($Q$4,Fancoils!$B$12:$I$21,4,FALSE),IF(J83="500",HLOOKUP($Q$4,Fancoils!$B$12:$I$21,5,FALSE),IF(J83="600",HLOOKUP($Q$4,Fancoils!$B$12:$I$21,6,FALSE),IF(J83="800",HLOOKUP($Q$4,Fancoils!$B$12:$I$21,7,FALSE),IF(J83="1000",HLOOKUP($Q$4,Fancoils!$B$12:$I$21,8,FALSE),IF(J83="1200",HLOOKUP($Q$4,Fancoils!$B$12:$I$21,9,FALSE),IF(J83="1400",HLOOKUP($Q$4,Fancoils!$B$12:$I$21,10,FALSE))))))))))</f>
        <v>170</v>
      </c>
      <c r="R83" s="17" t="s">
        <v>18</v>
      </c>
      <c r="S83" s="17">
        <v>4</v>
      </c>
      <c r="T83" s="37">
        <f>N83/S83</f>
        <v>255</v>
      </c>
      <c r="U83" s="20">
        <f>N83-P83</f>
        <v>962.4</v>
      </c>
      <c r="V83" s="59">
        <f t="shared" si="82"/>
        <v>4.25</v>
      </c>
      <c r="W83" s="35">
        <f>IF(J83="200",HLOOKUP($W$4,Fancoils!$B$12:$S$21,2,FALSE),IF(J83="300",HLOOKUP($W$4,Fancoils!$B$12:$S$21,3,FALSE),IF(J83="400",HLOOKUP($W$4,Fancoils!$B$12:$S$21,4,FALSE),IF(J83="500",HLOOKUP($W$4,Fancoils!$B$12:$S$21,5,FALSE),IF(J83="600",HLOOKUP($W$4,Fancoils!$B$12:$S$21,6,FALSE),IF(J83="800",HLOOKUP($W$4,Fancoils!$B$12:$S$21,7,FALSE),IF(J83="1000",HLOOKUP($W$4,Fancoils!$B$12:$S$21,8,FALSE),IF(J83="1200",HLOOKUP($W$4,Fancoils!$B$12:$S$21,9,FALSE),IF(J83="1400",HLOOKUP($W$4,Fancoils!$B$12:$S$21,10,FALSE))))))))))</f>
        <v>14.333333333333334</v>
      </c>
      <c r="X83" s="35">
        <f>IF(J83="200",HLOOKUP($X$4,Fancoils!$B$12:$S$21,2,FALSE),IF(J83="300",HLOOKUP($X$4,Fancoils!$B$12:$S$21,3,FALSE),IF(J83="400",HLOOKUP($X$4,Fancoils!$B$12:$S$21,4,FALSE),IF(J83="500",HLOOKUP($X$4,Fancoils!$B$12:$S$21,5,FALSE),IF(J83="600",HLOOKUP($X$4,Fancoils!$B$12:$S$21,6,FALSE),IF(J83="800",HLOOKUP($X$4,Fancoils!$B$12:$S$21,7,FALSE),IF(J83="1000",HLOOKUP($X$4,Fancoils!$B$12:$S$21,8,FALSE),IF(J83="1200",HLOOKUP($X$4,Fancoils!$B$12:$S$21,9,FALSE),IF(J83="1400",HLOOKUP($X$4,Fancoils!$B$12:$S$21,10,FALSE))))))))))</f>
        <v>10.333333333333334</v>
      </c>
      <c r="Y83" s="33" t="s">
        <v>357</v>
      </c>
      <c r="Z83" s="84">
        <f t="shared" si="89"/>
        <v>0.96000000000000008</v>
      </c>
      <c r="AA83" s="33">
        <f>REPORTE!M84</f>
        <v>286</v>
      </c>
    </row>
    <row r="84" spans="1:30" x14ac:dyDescent="0.25">
      <c r="B84" s="10">
        <v>3</v>
      </c>
      <c r="C84" s="11" t="str">
        <f>REPORTE!A85</f>
        <v xml:space="preserve">3P 83 SALA TIC          </v>
      </c>
      <c r="D84" s="10" t="s">
        <v>512</v>
      </c>
      <c r="E84" s="10" t="s">
        <v>12</v>
      </c>
      <c r="F84" s="12">
        <f>REPORTE!B85</f>
        <v>2.6</v>
      </c>
      <c r="G84" s="12">
        <f>REPORTE!C85</f>
        <v>2.5</v>
      </c>
      <c r="H84" s="12">
        <f>REPORTE!J85</f>
        <v>0.5</v>
      </c>
      <c r="I84" s="12">
        <f t="shared" si="88"/>
        <v>788.4</v>
      </c>
      <c r="J84" s="12" t="str">
        <f t="shared" si="90"/>
        <v>500</v>
      </c>
      <c r="K84" s="10">
        <f>IF(J84="200",HLOOKUP($K$4,Fancoils!$B$12:$I$21,2,FALSE),IF(J84="300",HLOOKUP($K$4,Fancoils!$B$12:$I$21,3,FALSE),IF(J84="400",HLOOKUP($K$4,Fancoils!$B$12:$I$21,4,FALSE),IF(J84="500",HLOOKUP($K$4,Fancoils!$B$12:$I$21,5,FALSE),IF(J84="600",HLOOKUP($K$4,Fancoils!$B$12:$I$21,6,FALSE),IF(J84="800",HLOOKUP($K$4,Fancoils!$B$12:$I$21,7,FALSE),IF(J84="1000",HLOOKUP($K$4,Fancoils!$B$12:$I$21,8,FALSE),IF(J84="1200",HLOOKUP($K$4,Fancoils!$B$12:$I$21,9,FALSE),IF(J84="1400",HLOOKUP($K$4,Fancoils!$B$12:$I$21,10,FALSE))))))))))</f>
        <v>4.3</v>
      </c>
      <c r="L84" s="10">
        <f>IF(J84="200",HLOOKUP($L$4,Fancoils!$B$12:$I$21,2,FALSE),IF(J84="300",HLOOKUP($L$4,Fancoils!$B$12:$I$21,3,FALSE),IF(J84="400",HLOOKUP($L$4,Fancoils!$B$12:$I$21,4,FALSE),IF(J84="500",HLOOKUP($L$4,Fancoils!$B$12:$I$21,5,FALSE),IF(J84="600",HLOOKUP($L$4,Fancoils!$B$12:$I$21,6,FALSE),IF(J84="800",HLOOKUP($L$4,Fancoils!$B$12:$I$21,7,FALSE),IF(J84="1000",HLOOKUP($L$4,Fancoils!$B$12:$I$21,8,FALSE),IF(J84="1200",HLOOKUP($L$4,Fancoils!$B$12:$I$21,9,FALSE),IF(J84="1400",HLOOKUP($L$4,Fancoils!$B$12:$I$21,10,FALSE))))))))))</f>
        <v>2.96</v>
      </c>
      <c r="M84" s="10">
        <f>IF(J84="200",HLOOKUP($M$4,Fancoils!$B$12:$I$21,2,FALSE),IF(J84="300",HLOOKUP($M$4,Fancoils!$B$12:$I$21,3,FALSE),IF(J84="400",HLOOKUP($M$4,Fancoils!$B$12:$I$21,4,FALSE),IF(J84="500",HLOOKUP($M$4,Fancoils!$B$12:$I$21,5,FALSE),IF(J84="600",HLOOKUP($M$4,Fancoils!$B$12:$I$21,6,FALSE),IF(J84="800",HLOOKUP($M$4,Fancoils!$B$12:$I$21,7,FALSE),IF(J84="1000",HLOOKUP($M$4,Fancoils!$B$12:$I$21,8,FALSE),IF(J84="1200",HLOOKUP($M$4,Fancoils!$B$12:$I$21,9,FALSE),IF(J84="1400",HLOOKUP($M$4,Fancoils!$B$12:$I$21,10,FALSE))))))))))</f>
        <v>3.42</v>
      </c>
      <c r="N84" s="10">
        <f>IF(J84="200",HLOOKUP($N$4,Fancoils!$B$12:$I$21,2,FALSE),IF(J84="300",HLOOKUP($N$4,Fancoils!$B$12:$I$21,3,FALSE),IF(J84="400",HLOOKUP($N$4,Fancoils!$B$12:$I$21,4,FALSE),IF(J84="500",HLOOKUP($N$4,Fancoils!$B$12:$I$21,5,FALSE),IF(J84="600",HLOOKUP($N$4,Fancoils!$B$12:$I$21,6,FALSE),IF(J84="800",HLOOKUP($N$4,Fancoils!$B$12:$I$21,7,FALSE),IF(J84="1000",HLOOKUP($N$4,Fancoils!$B$12:$I$21,8,FALSE),IF(J84="1200",HLOOKUP($N$4,Fancoils!$B$12:$I$21,9,FALSE),IF(J84="1400",HLOOKUP($N$4,Fancoils!$B$12:$I$21,10,FALSE))))))))))</f>
        <v>850</v>
      </c>
      <c r="O84" s="36">
        <f>REPORTE!P85</f>
        <v>5</v>
      </c>
      <c r="P84" s="14">
        <f t="shared" ref="P84:P87" si="91">O84*3.6</f>
        <v>18</v>
      </c>
      <c r="Q84" s="10">
        <f>IF(J84="200",HLOOKUP($Q$4,Fancoils!$B$12:$I$21,2,FALSE),IF(J84="300",HLOOKUP($Q$4,Fancoils!$B$12:$I$21,3,FALSE),IF(J84="400",HLOOKUP($Q$4,Fancoils!$B$12:$I$21,4,FALSE),IF(J84="500",HLOOKUP($Q$4,Fancoils!$B$12:$I$21,5,FALSE),IF(J84="600",HLOOKUP($Q$4,Fancoils!$B$12:$I$21,6,FALSE),IF(J84="800",HLOOKUP($Q$4,Fancoils!$B$12:$I$21,7,FALSE),IF(J84="1000",HLOOKUP($Q$4,Fancoils!$B$12:$I$21,8,FALSE),IF(J84="1200",HLOOKUP($Q$4,Fancoils!$B$12:$I$21,9,FALSE),IF(J84="1400",HLOOKUP($Q$4,Fancoils!$B$12:$I$21,10,FALSE))))))))))</f>
        <v>95</v>
      </c>
      <c r="R84" s="10" t="s">
        <v>53</v>
      </c>
      <c r="S84" s="10">
        <v>2</v>
      </c>
      <c r="T84" s="22">
        <f t="shared" ref="T84:T87" si="92">N84/S84</f>
        <v>425</v>
      </c>
      <c r="U84" s="13">
        <f t="shared" ref="U84:U87" si="93">N84-P84</f>
        <v>832</v>
      </c>
      <c r="V84" s="59">
        <f t="shared" si="82"/>
        <v>7.083333333333333</v>
      </c>
      <c r="W84" s="12">
        <f>IF(J84="200",HLOOKUP($W$4,Fancoils!$B$12:$S$21,2,FALSE),IF(J84="300",HLOOKUP($W$4,Fancoils!$B$12:$S$21,3,FALSE),IF(J84="400",HLOOKUP($W$4,Fancoils!$B$12:$S$21,4,FALSE),IF(J84="500",HLOOKUP($W$4,Fancoils!$B$12:$S$21,5,FALSE),IF(J84="600",HLOOKUP($W$4,Fancoils!$B$12:$S$21,6,FALSE),IF(J84="800",HLOOKUP($W$4,Fancoils!$B$12:$S$21,7,FALSE),IF(J84="1000",HLOOKUP($W$4,Fancoils!$B$12:$S$21,8,FALSE),IF(J84="1200",HLOOKUP($W$4,Fancoils!$B$12:$S$21,9,FALSE),IF(J84="1400",HLOOKUP($W$4,Fancoils!$B$12:$S$21,10,FALSE))))))))))</f>
        <v>12.333333333333334</v>
      </c>
      <c r="X84" s="12">
        <f>IF(J84="200",HLOOKUP($X$4,Fancoils!$B$12:$S$21,2,FALSE),IF(J84="300",HLOOKUP($X$4,Fancoils!$B$12:$S$21,3,FALSE),IF(J84="400",HLOOKUP($X$4,Fancoils!$B$12:$S$21,4,FALSE),IF(J84="500",HLOOKUP($X$4,Fancoils!$B$12:$S$21,5,FALSE),IF(J84="600",HLOOKUP($X$4,Fancoils!$B$12:$S$21,6,FALSE),IF(J84="800",HLOOKUP($X$4,Fancoils!$B$12:$S$21,7,FALSE),IF(J84="1000",HLOOKUP($X$4,Fancoils!$B$12:$S$21,8,FALSE),IF(J84="1200",HLOOKUP($X$4,Fancoils!$B$12:$S$21,9,FALSE),IF(J84="1400",HLOOKUP($X$4,Fancoils!$B$12:$S$21,10,FALSE))))))))))</f>
        <v>8.3333333333333339</v>
      </c>
      <c r="Y84" s="33" t="s">
        <v>357</v>
      </c>
      <c r="Z84" s="2">
        <f t="shared" si="89"/>
        <v>0.3</v>
      </c>
      <c r="AA84">
        <f>REPORTE!M85</f>
        <v>219</v>
      </c>
      <c r="AB84">
        <f>SUM(Z84:Z88)</f>
        <v>2.2799999999999998</v>
      </c>
      <c r="AC84" t="s">
        <v>111</v>
      </c>
    </row>
    <row r="85" spans="1:30" x14ac:dyDescent="0.25">
      <c r="B85" s="10">
        <v>3</v>
      </c>
      <c r="C85" s="11" t="str">
        <f>REPORTE!A86</f>
        <v xml:space="preserve">3P 84 OF LINEA 800      </v>
      </c>
      <c r="D85" s="10" t="s">
        <v>513</v>
      </c>
      <c r="E85" s="10" t="s">
        <v>12</v>
      </c>
      <c r="F85" s="12">
        <f>REPORTE!B86</f>
        <v>2</v>
      </c>
      <c r="G85" s="12">
        <f>REPORTE!C86</f>
        <v>2</v>
      </c>
      <c r="H85" s="12">
        <f>REPORTE!J86</f>
        <v>0.5</v>
      </c>
      <c r="I85" s="12">
        <f t="shared" si="88"/>
        <v>597.6</v>
      </c>
      <c r="J85" s="12" t="str">
        <f t="shared" si="90"/>
        <v>400</v>
      </c>
      <c r="K85" s="10">
        <f>IF(J85="200",HLOOKUP($K$4,Fancoils!$B$12:$I$21,2,FALSE),IF(J85="300",HLOOKUP($K$4,Fancoils!$B$12:$I$21,3,FALSE),IF(J85="400",HLOOKUP($K$4,Fancoils!$B$12:$I$21,4,FALSE),IF(J85="500",HLOOKUP($K$4,Fancoils!$B$12:$I$21,5,FALSE),IF(J85="600",HLOOKUP($K$4,Fancoils!$B$12:$I$21,6,FALSE),IF(J85="800",HLOOKUP($K$4,Fancoils!$B$12:$I$21,7,FALSE),IF(J85="1000",HLOOKUP($K$4,Fancoils!$B$12:$I$21,8,FALSE),IF(J85="1200",HLOOKUP($K$4,Fancoils!$B$12:$I$21,9,FALSE),IF(J85="1400",HLOOKUP($K$4,Fancoils!$B$12:$I$21,10,FALSE))))))))))</f>
        <v>3.6</v>
      </c>
      <c r="L85" s="10">
        <f>IF(J85="200",HLOOKUP($L$4,Fancoils!$B$12:$I$21,2,FALSE),IF(J85="300",HLOOKUP($L$4,Fancoils!$B$12:$I$21,3,FALSE),IF(J85="400",HLOOKUP($L$4,Fancoils!$B$12:$I$21,4,FALSE),IF(J85="500",HLOOKUP($L$4,Fancoils!$B$12:$I$21,5,FALSE),IF(J85="600",HLOOKUP($L$4,Fancoils!$B$12:$I$21,6,FALSE),IF(J85="800",HLOOKUP($L$4,Fancoils!$B$12:$I$21,7,FALSE),IF(J85="1000",HLOOKUP($L$4,Fancoils!$B$12:$I$21,8,FALSE),IF(J85="1200",HLOOKUP($L$4,Fancoils!$B$12:$I$21,9,FALSE),IF(J85="1400",HLOOKUP($L$4,Fancoils!$B$12:$I$21,10,FALSE))))))))))</f>
        <v>2.48</v>
      </c>
      <c r="M85" s="10">
        <f>IF(J85="200",HLOOKUP($M$4,Fancoils!$B$12:$I$21,2,FALSE),IF(J85="300",HLOOKUP($M$4,Fancoils!$B$12:$I$21,3,FALSE),IF(J85="400",HLOOKUP($M$4,Fancoils!$B$12:$I$21,4,FALSE),IF(J85="500",HLOOKUP($M$4,Fancoils!$B$12:$I$21,5,FALSE),IF(J85="600",HLOOKUP($M$4,Fancoils!$B$12:$I$21,6,FALSE),IF(J85="800",HLOOKUP($M$4,Fancoils!$B$12:$I$21,7,FALSE),IF(J85="1000",HLOOKUP($M$4,Fancoils!$B$12:$I$21,8,FALSE),IF(J85="1200",HLOOKUP($M$4,Fancoils!$B$12:$I$21,9,FALSE),IF(J85="1400",HLOOKUP($M$4,Fancoils!$B$12:$I$21,10,FALSE))))))))))</f>
        <v>3.12</v>
      </c>
      <c r="N85" s="10">
        <f>IF(J85="200",HLOOKUP($N$4,Fancoils!$B$12:$I$21,2,FALSE),IF(J85="300",HLOOKUP($N$4,Fancoils!$B$12:$I$21,3,FALSE),IF(J85="400",HLOOKUP($N$4,Fancoils!$B$12:$I$21,4,FALSE),IF(J85="500",HLOOKUP($N$4,Fancoils!$B$12:$I$21,5,FALSE),IF(J85="600",HLOOKUP($N$4,Fancoils!$B$12:$I$21,6,FALSE),IF(J85="800",HLOOKUP($N$4,Fancoils!$B$12:$I$21,7,FALSE),IF(J85="1000",HLOOKUP($N$4,Fancoils!$B$12:$I$21,8,FALSE),IF(J85="1200",HLOOKUP($N$4,Fancoils!$B$12:$I$21,9,FALSE),IF(J85="1400",HLOOKUP($N$4,Fancoils!$B$12:$I$21,10,FALSE))))))))))</f>
        <v>680</v>
      </c>
      <c r="O85" s="36">
        <f>REPORTE!P86</f>
        <v>8</v>
      </c>
      <c r="P85" s="14">
        <f t="shared" si="91"/>
        <v>28.8</v>
      </c>
      <c r="Q85" s="10">
        <f>IF(J85="200",HLOOKUP($Q$4,Fancoils!$B$12:$I$21,2,FALSE),IF(J85="300",HLOOKUP($Q$4,Fancoils!$B$12:$I$21,3,FALSE),IF(J85="400",HLOOKUP($Q$4,Fancoils!$B$12:$I$21,4,FALSE),IF(J85="500",HLOOKUP($Q$4,Fancoils!$B$12:$I$21,5,FALSE),IF(J85="600",HLOOKUP($Q$4,Fancoils!$B$12:$I$21,6,FALSE),IF(J85="800",HLOOKUP($Q$4,Fancoils!$B$12:$I$21,7,FALSE),IF(J85="1000",HLOOKUP($Q$4,Fancoils!$B$12:$I$21,8,FALSE),IF(J85="1200",HLOOKUP($Q$4,Fancoils!$B$12:$I$21,9,FALSE),IF(J85="1400",HLOOKUP($Q$4,Fancoils!$B$12:$I$21,10,FALSE))))))))))</f>
        <v>70</v>
      </c>
      <c r="R85" s="10" t="s">
        <v>53</v>
      </c>
      <c r="S85" s="10">
        <v>2</v>
      </c>
      <c r="T85" s="22">
        <f t="shared" si="92"/>
        <v>340</v>
      </c>
      <c r="U85" s="13">
        <f t="shared" si="93"/>
        <v>651.20000000000005</v>
      </c>
      <c r="V85" s="59">
        <f t="shared" si="82"/>
        <v>5.666666666666667</v>
      </c>
      <c r="W85" s="12">
        <f>IF(J85="200",HLOOKUP($W$4,Fancoils!$B$12:$S$21,2,FALSE),IF(J85="300",HLOOKUP($W$4,Fancoils!$B$12:$S$21,3,FALSE),IF(J85="400",HLOOKUP($W$4,Fancoils!$B$12:$S$21,4,FALSE),IF(J85="500",HLOOKUP($W$4,Fancoils!$B$12:$S$21,5,FALSE),IF(J85="600",HLOOKUP($W$4,Fancoils!$B$12:$S$21,6,FALSE),IF(J85="800",HLOOKUP($W$4,Fancoils!$B$12:$S$21,7,FALSE),IF(J85="1000",HLOOKUP($W$4,Fancoils!$B$12:$S$21,8,FALSE),IF(J85="1200",HLOOKUP($W$4,Fancoils!$B$12:$S$21,9,FALSE),IF(J85="1400",HLOOKUP($W$4,Fancoils!$B$12:$S$21,10,FALSE))))))))))</f>
        <v>10.316666666666666</v>
      </c>
      <c r="X85" s="12">
        <f>IF(J85="200",HLOOKUP($X$4,Fancoils!$B$12:$S$21,2,FALSE),IF(J85="300",HLOOKUP($X$4,Fancoils!$B$12:$S$21,3,FALSE),IF(J85="400",HLOOKUP($X$4,Fancoils!$B$12:$S$21,4,FALSE),IF(J85="500",HLOOKUP($X$4,Fancoils!$B$12:$S$21,5,FALSE),IF(J85="600",HLOOKUP($X$4,Fancoils!$B$12:$S$21,6,FALSE),IF(J85="800",HLOOKUP($X$4,Fancoils!$B$12:$S$21,7,FALSE),IF(J85="1000",HLOOKUP($X$4,Fancoils!$B$12:$S$21,8,FALSE),IF(J85="1200",HLOOKUP($X$4,Fancoils!$B$12:$S$21,9,FALSE),IF(J85="1400",HLOOKUP($X$4,Fancoils!$B$12:$S$21,10,FALSE))))))))))</f>
        <v>7.5000000000000009</v>
      </c>
      <c r="Y85" s="33" t="s">
        <v>357</v>
      </c>
      <c r="Z85" s="2">
        <f t="shared" si="89"/>
        <v>0.48000000000000004</v>
      </c>
      <c r="AA85">
        <f>REPORTE!M86</f>
        <v>166</v>
      </c>
    </row>
    <row r="86" spans="1:30" s="33" customFormat="1" x14ac:dyDescent="0.25">
      <c r="B86" s="10">
        <v>3</v>
      </c>
      <c r="C86" s="11" t="str">
        <f>REPORTE!A87</f>
        <v xml:space="preserve">3P 85 SECRETARIA        </v>
      </c>
      <c r="D86" s="10" t="s">
        <v>514</v>
      </c>
      <c r="E86" s="10" t="s">
        <v>12</v>
      </c>
      <c r="F86" s="12">
        <f>REPORTE!B87</f>
        <v>2.1</v>
      </c>
      <c r="G86" s="12">
        <f>REPORTE!C87</f>
        <v>2.1</v>
      </c>
      <c r="H86" s="12">
        <f>REPORTE!J87</f>
        <v>0.5</v>
      </c>
      <c r="I86" s="12">
        <f t="shared" si="88"/>
        <v>633.6</v>
      </c>
      <c r="J86" s="12" t="str">
        <f t="shared" si="90"/>
        <v>400</v>
      </c>
      <c r="K86" s="10">
        <f>IF(J86="200",HLOOKUP($K$4,Fancoils!$B$12:$I$21,2,FALSE),IF(J86="300",HLOOKUP($K$4,Fancoils!$B$12:$I$21,3,FALSE),IF(J86="400",HLOOKUP($K$4,Fancoils!$B$12:$I$21,4,FALSE),IF(J86="500",HLOOKUP($K$4,Fancoils!$B$12:$I$21,5,FALSE),IF(J86="600",HLOOKUP($K$4,Fancoils!$B$12:$I$21,6,FALSE),IF(J86="800",HLOOKUP($K$4,Fancoils!$B$12:$I$21,7,FALSE),IF(J86="1000",HLOOKUP($K$4,Fancoils!$B$12:$I$21,8,FALSE),IF(J86="1200",HLOOKUP($K$4,Fancoils!$B$12:$I$21,9,FALSE),IF(J86="1400",HLOOKUP($K$4,Fancoils!$B$12:$I$21,10,FALSE))))))))))</f>
        <v>3.6</v>
      </c>
      <c r="L86" s="10">
        <f>IF(J86="200",HLOOKUP($L$4,Fancoils!$B$12:$I$21,2,FALSE),IF(J86="300",HLOOKUP($L$4,Fancoils!$B$12:$I$21,3,FALSE),IF(J86="400",HLOOKUP($L$4,Fancoils!$B$12:$I$21,4,FALSE),IF(J86="500",HLOOKUP($L$4,Fancoils!$B$12:$I$21,5,FALSE),IF(J86="600",HLOOKUP($L$4,Fancoils!$B$12:$I$21,6,FALSE),IF(J86="800",HLOOKUP($L$4,Fancoils!$B$12:$I$21,7,FALSE),IF(J86="1000",HLOOKUP($L$4,Fancoils!$B$12:$I$21,8,FALSE),IF(J86="1200",HLOOKUP($L$4,Fancoils!$B$12:$I$21,9,FALSE),IF(J86="1400",HLOOKUP($L$4,Fancoils!$B$12:$I$21,10,FALSE))))))))))</f>
        <v>2.48</v>
      </c>
      <c r="M86" s="10">
        <f>IF(J86="200",HLOOKUP($M$4,Fancoils!$B$12:$I$21,2,FALSE),IF(J86="300",HLOOKUP($M$4,Fancoils!$B$12:$I$21,3,FALSE),IF(J86="400",HLOOKUP($M$4,Fancoils!$B$12:$I$21,4,FALSE),IF(J86="500",HLOOKUP($M$4,Fancoils!$B$12:$I$21,5,FALSE),IF(J86="600",HLOOKUP($M$4,Fancoils!$B$12:$I$21,6,FALSE),IF(J86="800",HLOOKUP($M$4,Fancoils!$B$12:$I$21,7,FALSE),IF(J86="1000",HLOOKUP($M$4,Fancoils!$B$12:$I$21,8,FALSE),IF(J86="1200",HLOOKUP($M$4,Fancoils!$B$12:$I$21,9,FALSE),IF(J86="1400",HLOOKUP($M$4,Fancoils!$B$12:$I$21,10,FALSE))))))))))</f>
        <v>3.12</v>
      </c>
      <c r="N86" s="10">
        <f>IF(J86="200",HLOOKUP($N$4,Fancoils!$B$12:$I$21,2,FALSE),IF(J86="300",HLOOKUP($N$4,Fancoils!$B$12:$I$21,3,FALSE),IF(J86="400",HLOOKUP($N$4,Fancoils!$B$12:$I$21,4,FALSE),IF(J86="500",HLOOKUP($N$4,Fancoils!$B$12:$I$21,5,FALSE),IF(J86="600",HLOOKUP($N$4,Fancoils!$B$12:$I$21,6,FALSE),IF(J86="800",HLOOKUP($N$4,Fancoils!$B$12:$I$21,7,FALSE),IF(J86="1000",HLOOKUP($N$4,Fancoils!$B$12:$I$21,8,FALSE),IF(J86="1200",HLOOKUP($N$4,Fancoils!$B$12:$I$21,9,FALSE),IF(J86="1400",HLOOKUP($N$4,Fancoils!$B$12:$I$21,10,FALSE))))))))))</f>
        <v>680</v>
      </c>
      <c r="O86" s="36">
        <f>REPORTE!P87</f>
        <v>7</v>
      </c>
      <c r="P86" s="36">
        <f t="shared" si="91"/>
        <v>25.2</v>
      </c>
      <c r="Q86" s="10">
        <f>IF(J86="200",HLOOKUP($Q$4,Fancoils!$B$12:$I$21,2,FALSE),IF(J86="300",HLOOKUP($Q$4,Fancoils!$B$12:$I$21,3,FALSE),IF(J86="400",HLOOKUP($Q$4,Fancoils!$B$12:$I$21,4,FALSE),IF(J86="500",HLOOKUP($Q$4,Fancoils!$B$12:$I$21,5,FALSE),IF(J86="600",HLOOKUP($Q$4,Fancoils!$B$12:$I$21,6,FALSE),IF(J86="800",HLOOKUP($Q$4,Fancoils!$B$12:$I$21,7,FALSE),IF(J86="1000",HLOOKUP($Q$4,Fancoils!$B$12:$I$21,8,FALSE),IF(J86="1200",HLOOKUP($Q$4,Fancoils!$B$12:$I$21,9,FALSE),IF(J86="1400",HLOOKUP($Q$4,Fancoils!$B$12:$I$21,10,FALSE))))))))))</f>
        <v>70</v>
      </c>
      <c r="R86" s="17" t="s">
        <v>18</v>
      </c>
      <c r="S86" s="17">
        <v>2</v>
      </c>
      <c r="T86" s="37">
        <f t="shared" si="92"/>
        <v>340</v>
      </c>
      <c r="U86" s="20">
        <f t="shared" si="93"/>
        <v>654.79999999999995</v>
      </c>
      <c r="V86" s="59">
        <f t="shared" si="82"/>
        <v>5.666666666666667</v>
      </c>
      <c r="W86" s="12">
        <f>IF(J86="200",HLOOKUP($W$4,Fancoils!$B$12:$S$21,2,FALSE),IF(J86="300",HLOOKUP($W$4,Fancoils!$B$12:$S$21,3,FALSE),IF(J86="400",HLOOKUP($W$4,Fancoils!$B$12:$S$21,4,FALSE),IF(J86="500",HLOOKUP($W$4,Fancoils!$B$12:$S$21,5,FALSE),IF(J86="600",HLOOKUP($W$4,Fancoils!$B$12:$S$21,6,FALSE),IF(J86="800",HLOOKUP($W$4,Fancoils!$B$12:$S$21,7,FALSE),IF(J86="1000",HLOOKUP($W$4,Fancoils!$B$12:$S$21,8,FALSE),IF(J86="1200",HLOOKUP($W$4,Fancoils!$B$12:$S$21,9,FALSE),IF(J86="1400",HLOOKUP($W$4,Fancoils!$B$12:$S$21,10,FALSE))))))))))</f>
        <v>10.316666666666666</v>
      </c>
      <c r="X86" s="12">
        <f>IF(J86="200",HLOOKUP($X$4,Fancoils!$B$12:$S$21,2,FALSE),IF(J86="300",HLOOKUP($X$4,Fancoils!$B$12:$S$21,3,FALSE),IF(J86="400",HLOOKUP($X$4,Fancoils!$B$12:$S$21,4,FALSE),IF(J86="500",HLOOKUP($X$4,Fancoils!$B$12:$S$21,5,FALSE),IF(J86="600",HLOOKUP($X$4,Fancoils!$B$12:$S$21,6,FALSE),IF(J86="800",HLOOKUP($X$4,Fancoils!$B$12:$S$21,7,FALSE),IF(J86="1000",HLOOKUP($X$4,Fancoils!$B$12:$S$21,8,FALSE),IF(J86="1200",HLOOKUP($X$4,Fancoils!$B$12:$S$21,9,FALSE),IF(J86="1400",HLOOKUP($X$4,Fancoils!$B$12:$S$21,10,FALSE))))))))))</f>
        <v>7.5000000000000009</v>
      </c>
      <c r="Y86" s="33" t="s">
        <v>357</v>
      </c>
      <c r="Z86" s="2">
        <f t="shared" si="89"/>
        <v>0.42</v>
      </c>
      <c r="AA86">
        <f>REPORTE!M87</f>
        <v>176</v>
      </c>
    </row>
    <row r="87" spans="1:30" ht="15" customHeight="1" x14ac:dyDescent="0.25">
      <c r="B87" s="10">
        <v>3</v>
      </c>
      <c r="C87" s="11" t="str">
        <f>REPORTE!A88</f>
        <v xml:space="preserve">3P 86 SUBDIRECTOR ADM   </v>
      </c>
      <c r="D87" s="10" t="s">
        <v>515</v>
      </c>
      <c r="E87" s="10" t="s">
        <v>12</v>
      </c>
      <c r="F87" s="12">
        <f>REPORTE!B88</f>
        <v>2.5</v>
      </c>
      <c r="G87" s="12">
        <f>REPORTE!C88</f>
        <v>2.5</v>
      </c>
      <c r="H87" s="12">
        <f>REPORTE!J88</f>
        <v>0.6</v>
      </c>
      <c r="I87" s="12">
        <f t="shared" si="88"/>
        <v>763.2</v>
      </c>
      <c r="J87" s="12" t="str">
        <f t="shared" si="90"/>
        <v>500</v>
      </c>
      <c r="K87" s="10">
        <f>IF(J87="200",HLOOKUP($K$4,Fancoils!$B$12:$I$21,2,FALSE),IF(J87="300",HLOOKUP($K$4,Fancoils!$B$12:$I$21,3,FALSE),IF(J87="400",HLOOKUP($K$4,Fancoils!$B$12:$I$21,4,FALSE),IF(J87="500",HLOOKUP($K$4,Fancoils!$B$12:$I$21,5,FALSE),IF(J87="600",HLOOKUP($K$4,Fancoils!$B$12:$I$21,6,FALSE),IF(J87="800",HLOOKUP($K$4,Fancoils!$B$12:$I$21,7,FALSE),IF(J87="1000",HLOOKUP($K$4,Fancoils!$B$12:$I$21,8,FALSE),IF(J87="1200",HLOOKUP($K$4,Fancoils!$B$12:$I$21,9,FALSE),IF(J87="1400",HLOOKUP($K$4,Fancoils!$B$12:$I$21,10,FALSE))))))))))</f>
        <v>4.3</v>
      </c>
      <c r="L87" s="10">
        <f>IF(J87="200",HLOOKUP($L$4,Fancoils!$B$12:$I$21,2,FALSE),IF(J87="300",HLOOKUP($L$4,Fancoils!$B$12:$I$21,3,FALSE),IF(J87="400",HLOOKUP($L$4,Fancoils!$B$12:$I$21,4,FALSE),IF(J87="500",HLOOKUP($L$4,Fancoils!$B$12:$I$21,5,FALSE),IF(J87="600",HLOOKUP($L$4,Fancoils!$B$12:$I$21,6,FALSE),IF(J87="800",HLOOKUP($L$4,Fancoils!$B$12:$I$21,7,FALSE),IF(J87="1000",HLOOKUP($L$4,Fancoils!$B$12:$I$21,8,FALSE),IF(J87="1200",HLOOKUP($L$4,Fancoils!$B$12:$I$21,9,FALSE),IF(J87="1400",HLOOKUP($L$4,Fancoils!$B$12:$I$21,10,FALSE))))))))))</f>
        <v>2.96</v>
      </c>
      <c r="M87" s="10">
        <f>IF(J87="200",HLOOKUP($M$4,Fancoils!$B$12:$I$21,2,FALSE),IF(J87="300",HLOOKUP($M$4,Fancoils!$B$12:$I$21,3,FALSE),IF(J87="400",HLOOKUP($M$4,Fancoils!$B$12:$I$21,4,FALSE),IF(J87="500",HLOOKUP($M$4,Fancoils!$B$12:$I$21,5,FALSE),IF(J87="600",HLOOKUP($M$4,Fancoils!$B$12:$I$21,6,FALSE),IF(J87="800",HLOOKUP($M$4,Fancoils!$B$12:$I$21,7,FALSE),IF(J87="1000",HLOOKUP($M$4,Fancoils!$B$12:$I$21,8,FALSE),IF(J87="1200",HLOOKUP($M$4,Fancoils!$B$12:$I$21,9,FALSE),IF(J87="1400",HLOOKUP($M$4,Fancoils!$B$12:$I$21,10,FALSE))))))))))</f>
        <v>3.42</v>
      </c>
      <c r="N87" s="10">
        <f>IF(J87="200",HLOOKUP($N$4,Fancoils!$B$12:$I$21,2,FALSE),IF(J87="300",HLOOKUP($N$4,Fancoils!$B$12:$I$21,3,FALSE),IF(J87="400",HLOOKUP($N$4,Fancoils!$B$12:$I$21,4,FALSE),IF(J87="500",HLOOKUP($N$4,Fancoils!$B$12:$I$21,5,FALSE),IF(J87="600",HLOOKUP($N$4,Fancoils!$B$12:$I$21,6,FALSE),IF(J87="800",HLOOKUP($N$4,Fancoils!$B$12:$I$21,7,FALSE),IF(J87="1000",HLOOKUP($N$4,Fancoils!$B$12:$I$21,8,FALSE),IF(J87="1200",HLOOKUP($N$4,Fancoils!$B$12:$I$21,9,FALSE),IF(J87="1400",HLOOKUP($N$4,Fancoils!$B$12:$I$21,10,FALSE))))))))))</f>
        <v>850</v>
      </c>
      <c r="O87" s="36">
        <f>REPORTE!P88</f>
        <v>8</v>
      </c>
      <c r="P87" s="14">
        <f t="shared" si="91"/>
        <v>28.8</v>
      </c>
      <c r="Q87" s="10">
        <f>IF(J87="200",HLOOKUP($Q$4,Fancoils!$B$12:$I$21,2,FALSE),IF(J87="300",HLOOKUP($Q$4,Fancoils!$B$12:$I$21,3,FALSE),IF(J87="400",HLOOKUP($Q$4,Fancoils!$B$12:$I$21,4,FALSE),IF(J87="500",HLOOKUP($Q$4,Fancoils!$B$12:$I$21,5,FALSE),IF(J87="600",HLOOKUP($Q$4,Fancoils!$B$12:$I$21,6,FALSE),IF(J87="800",HLOOKUP($Q$4,Fancoils!$B$12:$I$21,7,FALSE),IF(J87="1000",HLOOKUP($Q$4,Fancoils!$B$12:$I$21,8,FALSE),IF(J87="1200",HLOOKUP($Q$4,Fancoils!$B$12:$I$21,9,FALSE),IF(J87="1400",HLOOKUP($Q$4,Fancoils!$B$12:$I$21,10,FALSE))))))))))</f>
        <v>95</v>
      </c>
      <c r="R87" s="10" t="s">
        <v>53</v>
      </c>
      <c r="S87" s="10">
        <v>2</v>
      </c>
      <c r="T87" s="22">
        <f t="shared" si="92"/>
        <v>425</v>
      </c>
      <c r="U87" s="13">
        <f t="shared" si="93"/>
        <v>821.2</v>
      </c>
      <c r="V87" s="59">
        <f t="shared" si="82"/>
        <v>7.083333333333333</v>
      </c>
      <c r="W87" s="12">
        <f>IF(J87="200",HLOOKUP($W$4,Fancoils!$B$12:$S$21,2,FALSE),IF(J87="300",HLOOKUP($W$4,Fancoils!$B$12:$S$21,3,FALSE),IF(J87="400",HLOOKUP($W$4,Fancoils!$B$12:$S$21,4,FALSE),IF(J87="500",HLOOKUP($W$4,Fancoils!$B$12:$S$21,5,FALSE),IF(J87="600",HLOOKUP($W$4,Fancoils!$B$12:$S$21,6,FALSE),IF(J87="800",HLOOKUP($W$4,Fancoils!$B$12:$S$21,7,FALSE),IF(J87="1000",HLOOKUP($W$4,Fancoils!$B$12:$S$21,8,FALSE),IF(J87="1200",HLOOKUP($W$4,Fancoils!$B$12:$S$21,9,FALSE),IF(J87="1400",HLOOKUP($W$4,Fancoils!$B$12:$S$21,10,FALSE))))))))))</f>
        <v>12.333333333333334</v>
      </c>
      <c r="X87" s="12">
        <f>IF(J87="200",HLOOKUP($X$4,Fancoils!$B$12:$S$21,2,FALSE),IF(J87="300",HLOOKUP($X$4,Fancoils!$B$12:$S$21,3,FALSE),IF(J87="400",HLOOKUP($X$4,Fancoils!$B$12:$S$21,4,FALSE),IF(J87="500",HLOOKUP($X$4,Fancoils!$B$12:$S$21,5,FALSE),IF(J87="600",HLOOKUP($X$4,Fancoils!$B$12:$S$21,6,FALSE),IF(J87="800",HLOOKUP($X$4,Fancoils!$B$12:$S$21,7,FALSE),IF(J87="1000",HLOOKUP($X$4,Fancoils!$B$12:$S$21,8,FALSE),IF(J87="1200",HLOOKUP($X$4,Fancoils!$B$12:$S$21,9,FALSE),IF(J87="1400",HLOOKUP($X$4,Fancoils!$B$12:$S$21,10,FALSE))))))))))</f>
        <v>8.3333333333333339</v>
      </c>
      <c r="Y87" s="33" t="s">
        <v>357</v>
      </c>
      <c r="Z87" s="2">
        <f t="shared" si="89"/>
        <v>0.48000000000000004</v>
      </c>
      <c r="AA87">
        <f>REPORTE!M88</f>
        <v>212</v>
      </c>
    </row>
    <row r="88" spans="1:30" s="33" customFormat="1" x14ac:dyDescent="0.25">
      <c r="B88" s="10">
        <v>3</v>
      </c>
      <c r="C88" s="11" t="str">
        <f>REPORTE!A89</f>
        <v xml:space="preserve">3P 87 OF DIRECTOR       </v>
      </c>
      <c r="D88" s="10" t="s">
        <v>516</v>
      </c>
      <c r="E88" s="10" t="s">
        <v>12</v>
      </c>
      <c r="F88" s="12">
        <f>REPORTE!B89</f>
        <v>4.5</v>
      </c>
      <c r="G88" s="12">
        <f>REPORTE!C89</f>
        <v>4.4000000000000004</v>
      </c>
      <c r="H88" s="12">
        <f>REPORTE!J89</f>
        <v>1.1000000000000001</v>
      </c>
      <c r="I88" s="12">
        <f t="shared" si="88"/>
        <v>1368</v>
      </c>
      <c r="J88" s="12" t="str">
        <f t="shared" ref="J88" si="94">+IF(G88&lt;1.38,"200",IF(AND(1.39&lt;G88,G88&lt;1.86),"300",IF(AND(1.87&lt;G88,G88&lt;2.48),"400",IF(AND(2.49&lt;G88,G88&lt;2.96),"500",IF(AND(2.97&lt;G88,G88&lt;3.44),"600",IF(AND(3.45&lt;G88,G88&lt;4.68),"800",IF(AND(4.69&lt;G88,G88&lt;5.37),"1000",IF(AND(5.38&lt;G88,G88&lt;7.02),"1200",IF(AND(7.1&lt;G88,G88&gt;7.92),"1400",)))))))))</f>
        <v>800</v>
      </c>
      <c r="K88" s="10">
        <f>IF(J88="200",HLOOKUP($K$4,Fancoils!$B$12:$I$21,2,FALSE),IF(J88="300",HLOOKUP($K$4,Fancoils!$B$12:$I$21,3,FALSE),IF(J88="400",HLOOKUP($K$4,Fancoils!$B$12:$I$21,4,FALSE),IF(J88="500",HLOOKUP($K$4,Fancoils!$B$12:$I$21,5,FALSE),IF(J88="600",HLOOKUP($K$4,Fancoils!$B$12:$I$21,6,FALSE),IF(J88="800",HLOOKUP($K$4,Fancoils!$B$12:$I$21,7,FALSE),IF(J88="1000",HLOOKUP($K$4,Fancoils!$B$12:$I$21,8,FALSE),IF(J88="1200",HLOOKUP($K$4,Fancoils!$B$12:$I$21,9,FALSE),IF(J88="1400",HLOOKUP($K$4,Fancoils!$B$12:$I$21,10,FALSE))))))))))</f>
        <v>6.8</v>
      </c>
      <c r="L88" s="10">
        <f>IF(J88="200",HLOOKUP($L$4,Fancoils!$B$12:$I$21,2,FALSE),IF(J88="300",HLOOKUP($L$4,Fancoils!$B$12:$I$21,3,FALSE),IF(J88="400",HLOOKUP($L$4,Fancoils!$B$12:$I$21,4,FALSE),IF(J88="500",HLOOKUP($L$4,Fancoils!$B$12:$I$21,5,FALSE),IF(J88="600",HLOOKUP($L$4,Fancoils!$B$12:$I$21,6,FALSE),IF(J88="800",HLOOKUP($L$4,Fancoils!$B$12:$I$21,7,FALSE),IF(J88="1000",HLOOKUP($L$4,Fancoils!$B$12:$I$21,8,FALSE),IF(J88="1200",HLOOKUP($L$4,Fancoils!$B$12:$I$21,9,FALSE),IF(J88="1400",HLOOKUP($L$4,Fancoils!$B$12:$I$21,10,FALSE))))))))))</f>
        <v>4.68</v>
      </c>
      <c r="M88" s="10">
        <f>IF(J88="200",HLOOKUP($M$4,Fancoils!$B$12:$I$21,2,FALSE),IF(J88="300",HLOOKUP($M$4,Fancoils!$B$12:$I$21,3,FALSE),IF(J88="400",HLOOKUP($M$4,Fancoils!$B$12:$I$21,4,FALSE),IF(J88="500",HLOOKUP($M$4,Fancoils!$B$12:$I$21,5,FALSE),IF(J88="600",HLOOKUP($M$4,Fancoils!$B$12:$I$21,6,FALSE),IF(J88="800",HLOOKUP($M$4,Fancoils!$B$12:$I$21,7,FALSE),IF(J88="1000",HLOOKUP($M$4,Fancoils!$B$12:$I$21,8,FALSE),IF(J88="1200",HLOOKUP($M$4,Fancoils!$B$12:$I$21,9,FALSE),IF(J88="1400",HLOOKUP($M$4,Fancoils!$B$12:$I$21,10,FALSE))))))))))</f>
        <v>5.76</v>
      </c>
      <c r="N88" s="10">
        <f>IF(J88="200",HLOOKUP($N$4,Fancoils!$B$12:$I$21,2,FALSE),IF(J88="300",HLOOKUP($N$4,Fancoils!$B$12:$I$21,3,FALSE),IF(J88="400",HLOOKUP($N$4,Fancoils!$B$12:$I$21,4,FALSE),IF(J88="500",HLOOKUP($N$4,Fancoils!$B$12:$I$21,5,FALSE),IF(J88="600",HLOOKUP($N$4,Fancoils!$B$12:$I$21,6,FALSE),IF(J88="800",HLOOKUP($N$4,Fancoils!$B$12:$I$21,7,FALSE),IF(J88="1000",HLOOKUP($N$4,Fancoils!$B$12:$I$21,8,FALSE),IF(J88="1200",HLOOKUP($N$4,Fancoils!$B$12:$I$21,9,FALSE),IF(J88="1400",HLOOKUP($N$4,Fancoils!$B$12:$I$21,10,FALSE))))))))))</f>
        <v>1360</v>
      </c>
      <c r="O88" s="36">
        <f>REPORTE!P89</f>
        <v>10</v>
      </c>
      <c r="P88" s="14">
        <f t="shared" ref="P88" si="95">O88*3.6</f>
        <v>36</v>
      </c>
      <c r="Q88" s="10">
        <f>IF(J88="200",HLOOKUP($Q$4,Fancoils!$B$12:$I$21,2,FALSE),IF(J88="300",HLOOKUP($Q$4,Fancoils!$B$12:$I$21,3,FALSE),IF(J88="400",HLOOKUP($Q$4,Fancoils!$B$12:$I$21,4,FALSE),IF(J88="500",HLOOKUP($Q$4,Fancoils!$B$12:$I$21,5,FALSE),IF(J88="600",HLOOKUP($Q$4,Fancoils!$B$12:$I$21,6,FALSE),IF(J88="800",HLOOKUP($Q$4,Fancoils!$B$12:$I$21,7,FALSE),IF(J88="1000",HLOOKUP($Q$4,Fancoils!$B$12:$I$21,8,FALSE),IF(J88="1200",HLOOKUP($Q$4,Fancoils!$B$12:$I$21,9,FALSE),IF(J88="1400",HLOOKUP($Q$4,Fancoils!$B$12:$I$21,10,FALSE))))))))))</f>
        <v>198</v>
      </c>
      <c r="R88" s="10" t="s">
        <v>347</v>
      </c>
      <c r="S88" s="10">
        <v>4</v>
      </c>
      <c r="T88" s="22">
        <f t="shared" ref="T88" si="96">N88/S88</f>
        <v>340</v>
      </c>
      <c r="U88" s="13">
        <f t="shared" ref="U88" si="97">N88-P88</f>
        <v>1324</v>
      </c>
      <c r="V88" s="59">
        <f t="shared" si="82"/>
        <v>5.666666666666667</v>
      </c>
      <c r="W88" s="12">
        <f>IF(J88="200",HLOOKUP($W$4,Fancoils!$B$12:$S$21,2,FALSE),IF(J88="300",HLOOKUP($W$4,Fancoils!$B$12:$S$21,3,FALSE),IF(J88="400",HLOOKUP($W$4,Fancoils!$B$12:$S$21,4,FALSE),IF(J88="500",HLOOKUP($W$4,Fancoils!$B$12:$S$21,5,FALSE),IF(J88="600",HLOOKUP($W$4,Fancoils!$B$12:$S$21,6,FALSE),IF(J88="800",HLOOKUP($W$4,Fancoils!$B$12:$S$21,7,FALSE),IF(J88="1000",HLOOKUP($W$4,Fancoils!$B$12:$S$21,8,FALSE),IF(J88="1200",HLOOKUP($W$4,Fancoils!$B$12:$S$21,9,FALSE),IF(J88="1400",HLOOKUP($W$4,Fancoils!$B$12:$S$21,10,FALSE))))))))))</f>
        <v>19.5</v>
      </c>
      <c r="X88" s="12">
        <f>IF(J88="200",HLOOKUP($X$4,Fancoils!$B$12:$S$21,2,FALSE),IF(J88="300",HLOOKUP($X$4,Fancoils!$B$12:$S$21,3,FALSE),IF(J88="400",HLOOKUP($X$4,Fancoils!$B$12:$S$21,4,FALSE),IF(J88="500",HLOOKUP($X$4,Fancoils!$B$12:$S$21,5,FALSE),IF(J88="600",HLOOKUP($X$4,Fancoils!$B$12:$S$21,6,FALSE),IF(J88="800",HLOOKUP($X$4,Fancoils!$B$12:$S$21,7,FALSE),IF(J88="1000",HLOOKUP($X$4,Fancoils!$B$12:$S$21,8,FALSE),IF(J88="1200",HLOOKUP($X$4,Fancoils!$B$12:$S$21,9,FALSE),IF(J88="1400",HLOOKUP($X$4,Fancoils!$B$12:$S$21,10,FALSE))))))))))</f>
        <v>13.833333333333332</v>
      </c>
      <c r="Y88" s="33" t="s">
        <v>357</v>
      </c>
      <c r="Z88" s="2">
        <f t="shared" si="89"/>
        <v>0.6</v>
      </c>
      <c r="AA88">
        <f>REPORTE!M89</f>
        <v>380</v>
      </c>
    </row>
    <row r="89" spans="1:30" x14ac:dyDescent="0.25">
      <c r="A89" s="33"/>
      <c r="B89" s="10"/>
      <c r="C89" s="11"/>
      <c r="D89" s="10"/>
      <c r="E89" s="10"/>
      <c r="F89" s="12"/>
      <c r="G89" s="12"/>
      <c r="H89" s="12"/>
      <c r="I89" s="12"/>
      <c r="J89" s="12"/>
      <c r="K89" s="10"/>
      <c r="L89" s="10"/>
      <c r="M89" s="10"/>
      <c r="N89" s="10"/>
      <c r="O89" s="36"/>
      <c r="P89" s="36"/>
      <c r="Q89" s="17"/>
      <c r="R89" s="17"/>
      <c r="S89" s="17"/>
      <c r="T89" s="37"/>
      <c r="U89" s="20"/>
      <c r="W89" s="12"/>
      <c r="X89" s="12"/>
    </row>
    <row r="90" spans="1:30" x14ac:dyDescent="0.25">
      <c r="A90" s="33"/>
      <c r="B90" s="10"/>
      <c r="C90" s="11"/>
      <c r="D90" s="10"/>
      <c r="E90" s="10"/>
      <c r="F90" s="12"/>
      <c r="G90" s="12"/>
      <c r="H90" s="12"/>
      <c r="I90" s="12"/>
      <c r="J90" s="12"/>
      <c r="K90" s="10"/>
      <c r="L90" s="10"/>
      <c r="M90" s="10"/>
      <c r="N90" s="10"/>
      <c r="O90" s="36"/>
      <c r="P90" s="36"/>
      <c r="Q90" s="17"/>
      <c r="R90" s="17"/>
      <c r="S90" s="17"/>
      <c r="T90" s="37"/>
      <c r="U90" s="20"/>
      <c r="W90" s="12"/>
      <c r="X90" s="12"/>
    </row>
    <row r="91" spans="1:30" x14ac:dyDescent="0.25">
      <c r="A91" s="33"/>
      <c r="B91" s="10"/>
      <c r="C91" s="11"/>
      <c r="D91" s="10"/>
      <c r="E91" s="10"/>
      <c r="F91" s="12"/>
      <c r="G91" s="12"/>
      <c r="H91" s="12"/>
      <c r="I91" s="12"/>
      <c r="J91" s="12"/>
      <c r="K91" s="10"/>
      <c r="L91" s="10"/>
      <c r="M91" s="10"/>
      <c r="N91" s="10"/>
      <c r="O91" s="36"/>
      <c r="P91" s="36"/>
      <c r="Q91" s="17"/>
      <c r="R91" s="17"/>
      <c r="S91" s="17"/>
      <c r="T91" s="37"/>
      <c r="U91" s="20"/>
      <c r="W91" s="12"/>
      <c r="X91" s="12"/>
    </row>
    <row r="92" spans="1:30" x14ac:dyDescent="0.25">
      <c r="A92" s="33"/>
      <c r="B92" s="10"/>
      <c r="C92" s="11"/>
      <c r="D92" s="10"/>
      <c r="E92" s="10"/>
      <c r="F92" s="12"/>
      <c r="G92" s="12"/>
      <c r="H92" s="12"/>
      <c r="I92" s="12"/>
      <c r="J92" s="12"/>
      <c r="K92" s="10"/>
      <c r="L92" s="10"/>
      <c r="M92" s="10"/>
      <c r="N92" s="10"/>
      <c r="O92" s="36"/>
      <c r="P92" s="14"/>
      <c r="Q92" s="10"/>
      <c r="R92" s="10"/>
      <c r="S92" s="10"/>
      <c r="T92" s="22"/>
      <c r="U92" s="13"/>
      <c r="W92" s="12"/>
      <c r="X92" s="12"/>
    </row>
    <row r="93" spans="1:30" x14ac:dyDescent="0.25">
      <c r="A93" s="33"/>
      <c r="B93" s="10"/>
      <c r="C93" s="11"/>
      <c r="D93" s="10"/>
      <c r="E93" s="10"/>
      <c r="F93" s="12"/>
      <c r="G93" s="12"/>
      <c r="H93" s="12"/>
      <c r="I93" s="12"/>
      <c r="J93" s="12"/>
      <c r="K93" s="10"/>
      <c r="L93" s="10"/>
      <c r="M93" s="10"/>
      <c r="N93" s="10"/>
      <c r="O93" s="36"/>
      <c r="P93" s="14"/>
      <c r="Q93" s="10"/>
      <c r="R93" s="10"/>
      <c r="S93" s="10"/>
      <c r="T93" s="22"/>
      <c r="U93" s="13"/>
      <c r="W93" s="12"/>
      <c r="X93" s="12"/>
    </row>
    <row r="94" spans="1:30" x14ac:dyDescent="0.25">
      <c r="A94" s="33"/>
      <c r="B94" s="10"/>
      <c r="C94" s="11"/>
      <c r="D94" s="10"/>
      <c r="E94" s="10"/>
      <c r="F94" s="12"/>
      <c r="G94" s="12"/>
      <c r="H94" s="12"/>
      <c r="I94" s="12"/>
      <c r="J94" s="12"/>
      <c r="K94" s="10"/>
      <c r="L94" s="10"/>
      <c r="M94" s="10"/>
      <c r="N94" s="10"/>
      <c r="O94" s="36"/>
      <c r="P94" s="14"/>
      <c r="Q94" s="10"/>
      <c r="R94" s="10"/>
      <c r="S94" s="10"/>
      <c r="T94" s="22"/>
      <c r="U94" s="13"/>
      <c r="W94" s="12"/>
      <c r="X94" s="12"/>
    </row>
    <row r="95" spans="1:30" x14ac:dyDescent="0.25">
      <c r="A95" s="33"/>
      <c r="B95" s="10"/>
      <c r="C95" s="11"/>
      <c r="D95" s="10"/>
      <c r="E95" s="10"/>
      <c r="F95" s="12"/>
      <c r="G95" s="12"/>
      <c r="H95" s="12"/>
      <c r="I95" s="12"/>
      <c r="J95" s="12"/>
      <c r="K95" s="10"/>
      <c r="L95" s="10"/>
      <c r="M95" s="10"/>
      <c r="N95" s="10"/>
      <c r="O95" s="36"/>
      <c r="P95" s="14"/>
      <c r="Q95" s="10"/>
      <c r="R95" s="10"/>
      <c r="S95" s="10"/>
      <c r="T95" s="22"/>
      <c r="U95" s="13"/>
      <c r="W95" s="12"/>
      <c r="X95" s="12"/>
    </row>
    <row r="96" spans="1:30" s="33" customFormat="1" x14ac:dyDescent="0.25">
      <c r="B96" s="10"/>
      <c r="C96" s="11"/>
      <c r="D96" s="10"/>
      <c r="E96" s="10"/>
      <c r="F96" s="35"/>
      <c r="G96" s="35"/>
      <c r="H96" s="35"/>
      <c r="I96" s="12"/>
      <c r="J96" s="12"/>
      <c r="K96" s="10"/>
      <c r="L96" s="10"/>
      <c r="M96" s="10"/>
      <c r="N96" s="10"/>
      <c r="O96" s="36"/>
      <c r="P96" s="36"/>
      <c r="Q96" s="17"/>
      <c r="R96" s="17"/>
      <c r="S96" s="17"/>
      <c r="T96" s="37"/>
      <c r="U96" s="20"/>
      <c r="V96" s="87"/>
      <c r="W96" s="12"/>
      <c r="X96" s="12"/>
      <c r="AA96"/>
    </row>
    <row r="97" spans="1:29" x14ac:dyDescent="0.25">
      <c r="A97" s="33"/>
      <c r="B97" s="10"/>
      <c r="C97" s="11"/>
      <c r="D97" s="10"/>
      <c r="E97" s="10"/>
      <c r="F97" s="12"/>
      <c r="G97" s="12"/>
      <c r="H97" s="12"/>
      <c r="I97" s="12"/>
      <c r="J97" s="12"/>
      <c r="K97" s="10"/>
      <c r="L97" s="10"/>
      <c r="M97" s="10"/>
      <c r="N97" s="10"/>
      <c r="O97" s="36"/>
      <c r="P97" s="14"/>
      <c r="Q97" s="10"/>
      <c r="R97" s="10"/>
      <c r="S97" s="10"/>
      <c r="T97" s="22"/>
      <c r="U97" s="13"/>
      <c r="W97" s="12"/>
      <c r="X97" s="12"/>
    </row>
    <row r="98" spans="1:29" s="33" customFormat="1" x14ac:dyDescent="0.25">
      <c r="B98" s="10">
        <v>1</v>
      </c>
      <c r="C98" s="11" t="str">
        <f>REPORTE!A100</f>
        <v>1P 05 SALA GUARDIAS Y CH</v>
      </c>
      <c r="D98" s="10" t="s">
        <v>298</v>
      </c>
      <c r="E98" s="10"/>
      <c r="F98" s="35"/>
      <c r="G98" s="35"/>
      <c r="H98" s="35"/>
      <c r="I98" s="12"/>
      <c r="J98" s="12" t="str">
        <f t="shared" si="90"/>
        <v>200</v>
      </c>
      <c r="K98" s="10">
        <f>IF(J98="200",HLOOKUP($K$4,Fancoils!$B$12:$I$21,2,FALSE),IF(J98="300",HLOOKUP($K$4,Fancoils!$B$12:$I$21,3,FALSE),IF(J98="400",HLOOKUP($K$4,Fancoils!$B$12:$I$21,4,FALSE),IF(J98="500",HLOOKUP($K$4,Fancoils!$B$12:$I$21,5,FALSE),IF(J98="600",HLOOKUP($K$4,Fancoils!$B$12:$I$21,6,FALSE),IF(J98="800",HLOOKUP($K$4,Fancoils!$B$12:$I$21,7,FALSE),IF(J98="1000",HLOOKUP($K$4,Fancoils!$B$12:$I$21,8,FALSE),IF(J98="1200",HLOOKUP($K$4,Fancoils!$B$12:$I$21,9,FALSE),IF(J98="1400",HLOOKUP($K$4,Fancoils!$B$12:$I$21,10,FALSE))))))))))</f>
        <v>2</v>
      </c>
      <c r="L98" s="10">
        <f>IF(J98="200",HLOOKUP($L$4,Fancoils!$B$12:$I$21,2,FALSE),IF(J98="300",HLOOKUP($L$4,Fancoils!$B$12:$I$21,3,FALSE),IF(J98="400",HLOOKUP($L$4,Fancoils!$B$12:$I$21,4,FALSE),IF(J98="500",HLOOKUP($L$4,Fancoils!$B$12:$I$21,5,FALSE),IF(J98="600",HLOOKUP($L$4,Fancoils!$B$12:$I$21,6,FALSE),IF(J98="800",HLOOKUP($L$4,Fancoils!$B$12:$I$21,7,FALSE),IF(J98="1000",HLOOKUP($L$4,Fancoils!$B$12:$I$21,8,FALSE),IF(J98="1200",HLOOKUP($L$4,Fancoils!$B$12:$I$21,9,FALSE),IF(J98="1400",HLOOKUP($L$4,Fancoils!$B$12:$I$21,10,FALSE))))))))))</f>
        <v>1.38</v>
      </c>
      <c r="M98" s="10">
        <f>IF(J98="200",HLOOKUP($M$4,Fancoils!$B$12:$I$21,2,FALSE),IF(J98="300",HLOOKUP($M$4,Fancoils!$B$12:$I$21,3,FALSE),IF(J98="400",HLOOKUP($M$4,Fancoils!$B$12:$I$21,4,FALSE),IF(J98="500",HLOOKUP($M$4,Fancoils!$B$12:$I$21,5,FALSE),IF(J98="600",HLOOKUP($M$4,Fancoils!$B$12:$I$21,6,FALSE),IF(J98="800",HLOOKUP($M$4,Fancoils!$B$12:$I$21,7,FALSE),IF(J98="1000",HLOOKUP($M$4,Fancoils!$B$12:$I$21,8,FALSE),IF(J98="1200",HLOOKUP($M$4,Fancoils!$B$12:$I$21,9,FALSE),IF(J98="1400",HLOOKUP($M$4,Fancoils!$B$12:$I$21,10,FALSE))))))))))</f>
        <v>1.8</v>
      </c>
      <c r="N98" s="10">
        <f>IF(J98="200",HLOOKUP($N$4,Fancoils!$B$12:$I$21,2,FALSE),IF(J98="300",HLOOKUP($N$4,Fancoils!$B$12:$I$21,3,FALSE),IF(J98="400",HLOOKUP($N$4,Fancoils!$B$12:$I$21,4,FALSE),IF(J98="500",HLOOKUP($N$4,Fancoils!$B$12:$I$21,5,FALSE),IF(J98="600",HLOOKUP($N$4,Fancoils!$B$12:$I$21,6,FALSE),IF(J98="800",HLOOKUP($N$4,Fancoils!$B$12:$I$21,7,FALSE),IF(J98="1000",HLOOKUP($N$4,Fancoils!$B$12:$I$21,8,FALSE),IF(J98="1200",HLOOKUP($N$4,Fancoils!$B$12:$I$21,9,FALSE),IF(J98="1400",HLOOKUP($N$4,Fancoils!$B$12:$I$21,10,FALSE))))))))))</f>
        <v>340</v>
      </c>
      <c r="O98" s="36">
        <f>REPORTE!P100</f>
        <v>15.7</v>
      </c>
      <c r="P98" s="36">
        <f>O98*3.6</f>
        <v>56.519999999999996</v>
      </c>
      <c r="Q98" s="17">
        <v>240</v>
      </c>
      <c r="R98" s="17" t="s">
        <v>18</v>
      </c>
      <c r="S98" s="17">
        <v>1</v>
      </c>
      <c r="T98" s="37">
        <f t="shared" ref="T98:T100" si="98">N98/S98</f>
        <v>340</v>
      </c>
      <c r="U98" s="20">
        <f t="shared" ref="U98:U100" si="99">N98-P98</f>
        <v>283.48</v>
      </c>
      <c r="V98" s="87"/>
      <c r="W98" s="12">
        <f>IF(J98="200",HLOOKUP($W$4,Fancoils!$B$12:$S$21,2,FALSE),IF(J98="300",HLOOKUP($W$4,Fancoils!$B$12:$S$21,3,FALSE),IF(J98="400",HLOOKUP($W$4,Fancoils!$B$12:$S$21,4,FALSE),IF(J98="500",HLOOKUP($W$4,Fancoils!$B$12:$S$21,5,FALSE),IF(J98="600",HLOOKUP($W$4,Fancoils!$B$12:$S$21,6,FALSE),IF(J98="800",HLOOKUP($W$4,Fancoils!$B$12:$S$21,7,FALSE),IF(J98="1000",HLOOKUP($W$4,Fancoils!$B$12:$S$21,8,FALSE),IF(J98="1200",HLOOKUP($W$4,Fancoils!$B$12:$S$21,9,FALSE),IF(J98="1400",HLOOKUP($W$4,Fancoils!$B$12:$S$21,10,FALSE))))))))))</f>
        <v>5.7333333333333334</v>
      </c>
      <c r="X98" s="12">
        <f>IF(J98="200",HLOOKUP($X$4,Fancoils!$B$12:$S$21,2,FALSE),IF(J98="300",HLOOKUP($X$4,Fancoils!$B$12:$S$21,3,FALSE),IF(J98="400",HLOOKUP($X$4,Fancoils!$B$12:$S$21,4,FALSE),IF(J98="500",HLOOKUP($X$4,Fancoils!$B$12:$S$21,5,FALSE),IF(J98="600",HLOOKUP($X$4,Fancoils!$B$12:$S$21,6,FALSE),IF(J98="800",HLOOKUP($X$4,Fancoils!$B$12:$S$21,7,FALSE),IF(J98="1000",HLOOKUP($X$4,Fancoils!$B$12:$S$21,8,FALSE),IF(J98="1200",HLOOKUP($X$4,Fancoils!$B$12:$S$21,9,FALSE),IF(J98="1400",HLOOKUP($X$4,Fancoils!$B$12:$S$21,10,FALSE))))))))))</f>
        <v>4.333333333333333</v>
      </c>
      <c r="Y98" s="33" t="s">
        <v>357</v>
      </c>
      <c r="Z98" s="2">
        <f>P98/60</f>
        <v>0.94199999999999995</v>
      </c>
      <c r="AA98"/>
    </row>
    <row r="99" spans="1:29" s="33" customFormat="1" x14ac:dyDescent="0.25">
      <c r="B99" s="10">
        <v>1</v>
      </c>
      <c r="C99" s="11" t="str">
        <f>REPORTE!A101</f>
        <v>1P 06 BODEGA FARMACOS SA</v>
      </c>
      <c r="D99" s="10" t="s">
        <v>300</v>
      </c>
      <c r="E99" s="10"/>
      <c r="F99" s="35"/>
      <c r="G99" s="35"/>
      <c r="H99" s="35"/>
      <c r="I99" s="12"/>
      <c r="J99" s="12" t="str">
        <f t="shared" si="90"/>
        <v>200</v>
      </c>
      <c r="K99" s="10">
        <f>IF(J99="200",HLOOKUP($K$4,Fancoils!$B$12:$I$21,2,FALSE),IF(J99="300",HLOOKUP($K$4,Fancoils!$B$12:$I$21,3,FALSE),IF(J99="400",HLOOKUP($K$4,Fancoils!$B$12:$I$21,4,FALSE),IF(J99="500",HLOOKUP($K$4,Fancoils!$B$12:$I$21,5,FALSE),IF(J99="600",HLOOKUP($K$4,Fancoils!$B$12:$I$21,6,FALSE),IF(J99="800",HLOOKUP($K$4,Fancoils!$B$12:$I$21,7,FALSE),IF(J99="1000",HLOOKUP($K$4,Fancoils!$B$12:$I$21,8,FALSE),IF(J99="1200",HLOOKUP($K$4,Fancoils!$B$12:$I$21,9,FALSE),IF(J99="1400",HLOOKUP($K$4,Fancoils!$B$12:$I$21,10,FALSE))))))))))</f>
        <v>2</v>
      </c>
      <c r="L99" s="10">
        <f>IF(J99="200",HLOOKUP($L$4,Fancoils!$B$12:$I$21,2,FALSE),IF(J99="300",HLOOKUP($L$4,Fancoils!$B$12:$I$21,3,FALSE),IF(J99="400",HLOOKUP($L$4,Fancoils!$B$12:$I$21,4,FALSE),IF(J99="500",HLOOKUP($L$4,Fancoils!$B$12:$I$21,5,FALSE),IF(J99="600",HLOOKUP($L$4,Fancoils!$B$12:$I$21,6,FALSE),IF(J99="800",HLOOKUP($L$4,Fancoils!$B$12:$I$21,7,FALSE),IF(J99="1000",HLOOKUP($L$4,Fancoils!$B$12:$I$21,8,FALSE),IF(J99="1200",HLOOKUP($L$4,Fancoils!$B$12:$I$21,9,FALSE),IF(J99="1400",HLOOKUP($L$4,Fancoils!$B$12:$I$21,10,FALSE))))))))))</f>
        <v>1.38</v>
      </c>
      <c r="M99" s="10">
        <f>IF(J99="200",HLOOKUP($M$4,Fancoils!$B$12:$I$21,2,FALSE),IF(J99="300",HLOOKUP($M$4,Fancoils!$B$12:$I$21,3,FALSE),IF(J99="400",HLOOKUP($M$4,Fancoils!$B$12:$I$21,4,FALSE),IF(J99="500",HLOOKUP($M$4,Fancoils!$B$12:$I$21,5,FALSE),IF(J99="600",HLOOKUP($M$4,Fancoils!$B$12:$I$21,6,FALSE),IF(J99="800",HLOOKUP($M$4,Fancoils!$B$12:$I$21,7,FALSE),IF(J99="1000",HLOOKUP($M$4,Fancoils!$B$12:$I$21,8,FALSE),IF(J99="1200",HLOOKUP($M$4,Fancoils!$B$12:$I$21,9,FALSE),IF(J99="1400",HLOOKUP($M$4,Fancoils!$B$12:$I$21,10,FALSE))))))))))</f>
        <v>1.8</v>
      </c>
      <c r="N99" s="10">
        <f>IF(J99="200",HLOOKUP($N$4,Fancoils!$B$12:$I$21,2,FALSE),IF(J99="300",HLOOKUP($N$4,Fancoils!$B$12:$I$21,3,FALSE),IF(J99="400",HLOOKUP($N$4,Fancoils!$B$12:$I$21,4,FALSE),IF(J99="500",HLOOKUP($N$4,Fancoils!$B$12:$I$21,5,FALSE),IF(J99="600",HLOOKUP($N$4,Fancoils!$B$12:$I$21,6,FALSE),IF(J99="800",HLOOKUP($N$4,Fancoils!$B$12:$I$21,7,FALSE),IF(J99="1000",HLOOKUP($N$4,Fancoils!$B$12:$I$21,8,FALSE),IF(J99="1200",HLOOKUP($N$4,Fancoils!$B$12:$I$21,9,FALSE),IF(J99="1400",HLOOKUP($N$4,Fancoils!$B$12:$I$21,10,FALSE))))))))))</f>
        <v>340</v>
      </c>
      <c r="O99" s="36">
        <f>REPORTE!P101</f>
        <v>11.7</v>
      </c>
      <c r="P99" s="36">
        <f t="shared" ref="P99:P100" si="100">O99*3.6</f>
        <v>42.12</v>
      </c>
      <c r="Q99" s="17">
        <v>240</v>
      </c>
      <c r="R99" s="17" t="s">
        <v>18</v>
      </c>
      <c r="S99" s="17">
        <v>1</v>
      </c>
      <c r="T99" s="37">
        <f t="shared" si="98"/>
        <v>340</v>
      </c>
      <c r="U99" s="20">
        <f t="shared" si="99"/>
        <v>297.88</v>
      </c>
      <c r="V99" s="87"/>
      <c r="W99" s="12">
        <f>IF(J99="200",HLOOKUP($W$4,Fancoils!$B$12:$S$21,2,FALSE),IF(J99="300",HLOOKUP($W$4,Fancoils!$B$12:$S$21,3,FALSE),IF(J99="400",HLOOKUP($W$4,Fancoils!$B$12:$S$21,4,FALSE),IF(J99="500",HLOOKUP($W$4,Fancoils!$B$12:$S$21,5,FALSE),IF(J99="600",HLOOKUP($W$4,Fancoils!$B$12:$S$21,6,FALSE),IF(J99="800",HLOOKUP($W$4,Fancoils!$B$12:$S$21,7,FALSE),IF(J99="1000",HLOOKUP($W$4,Fancoils!$B$12:$S$21,8,FALSE),IF(J99="1200",HLOOKUP($W$4,Fancoils!$B$12:$S$21,9,FALSE),IF(J99="1400",HLOOKUP($W$4,Fancoils!$B$12:$S$21,10,FALSE))))))))))</f>
        <v>5.7333333333333334</v>
      </c>
      <c r="X99" s="12">
        <f>IF(J99="200",HLOOKUP($X$4,Fancoils!$B$12:$S$21,2,FALSE),IF(J99="300",HLOOKUP($X$4,Fancoils!$B$12:$S$21,3,FALSE),IF(J99="400",HLOOKUP($X$4,Fancoils!$B$12:$S$21,4,FALSE),IF(J99="500",HLOOKUP($X$4,Fancoils!$B$12:$S$21,5,FALSE),IF(J99="600",HLOOKUP($X$4,Fancoils!$B$12:$S$21,6,FALSE),IF(J99="800",HLOOKUP($X$4,Fancoils!$B$12:$S$21,7,FALSE),IF(J99="1000",HLOOKUP($X$4,Fancoils!$B$12:$S$21,8,FALSE),IF(J99="1200",HLOOKUP($X$4,Fancoils!$B$12:$S$21,9,FALSE),IF(J99="1400",HLOOKUP($X$4,Fancoils!$B$12:$S$21,10,FALSE))))))))))</f>
        <v>4.333333333333333</v>
      </c>
      <c r="Y99" s="33" t="s">
        <v>357</v>
      </c>
      <c r="Z99" s="2">
        <f t="shared" ref="Z99:Z105" si="101">P99/60</f>
        <v>0.70199999999999996</v>
      </c>
      <c r="AA99"/>
    </row>
    <row r="100" spans="1:29" s="33" customFormat="1" x14ac:dyDescent="0.25">
      <c r="B100" s="10">
        <v>1</v>
      </c>
      <c r="C100" s="11" t="str">
        <f>REPORTE!A102</f>
        <v>1P 25 ACT VIDA DIARIA</v>
      </c>
      <c r="D100" s="10" t="s">
        <v>299</v>
      </c>
      <c r="E100" s="10"/>
      <c r="F100" s="35"/>
      <c r="G100" s="35"/>
      <c r="H100" s="35"/>
      <c r="I100" s="12"/>
      <c r="J100" s="12" t="str">
        <f t="shared" si="90"/>
        <v>200</v>
      </c>
      <c r="K100" s="10">
        <f>IF(J100="200",HLOOKUP($K$4,Fancoils!$B$12:$I$21,2,FALSE),IF(J100="300",HLOOKUP($K$4,Fancoils!$B$12:$I$21,3,FALSE),IF(J100="400",HLOOKUP($K$4,Fancoils!$B$12:$I$21,4,FALSE),IF(J100="500",HLOOKUP($K$4,Fancoils!$B$12:$I$21,5,FALSE),IF(J100="600",HLOOKUP($K$4,Fancoils!$B$12:$I$21,6,FALSE),IF(J100="800",HLOOKUP($K$4,Fancoils!$B$12:$I$21,7,FALSE),IF(J100="1000",HLOOKUP($K$4,Fancoils!$B$12:$I$21,8,FALSE),IF(J100="1200",HLOOKUP($K$4,Fancoils!$B$12:$I$21,9,FALSE),IF(J100="1400",HLOOKUP($K$4,Fancoils!$B$12:$I$21,10,FALSE))))))))))</f>
        <v>2</v>
      </c>
      <c r="L100" s="10">
        <f>IF(J100="200",HLOOKUP($L$4,Fancoils!$B$12:$I$21,2,FALSE),IF(J100="300",HLOOKUP($L$4,Fancoils!$B$12:$I$21,3,FALSE),IF(J100="400",HLOOKUP($L$4,Fancoils!$B$12:$I$21,4,FALSE),IF(J100="500",HLOOKUP($L$4,Fancoils!$B$12:$I$21,5,FALSE),IF(J100="600",HLOOKUP($L$4,Fancoils!$B$12:$I$21,6,FALSE),IF(J100="800",HLOOKUP($L$4,Fancoils!$B$12:$I$21,7,FALSE),IF(J100="1000",HLOOKUP($L$4,Fancoils!$B$12:$I$21,8,FALSE),IF(J100="1200",HLOOKUP($L$4,Fancoils!$B$12:$I$21,9,FALSE),IF(J100="1400",HLOOKUP($L$4,Fancoils!$B$12:$I$21,10,FALSE))))))))))</f>
        <v>1.38</v>
      </c>
      <c r="M100" s="10">
        <f>IF(J100="200",HLOOKUP($M$4,Fancoils!$B$12:$I$21,2,FALSE),IF(J100="300",HLOOKUP($M$4,Fancoils!$B$12:$I$21,3,FALSE),IF(J100="400",HLOOKUP($M$4,Fancoils!$B$12:$I$21,4,FALSE),IF(J100="500",HLOOKUP($M$4,Fancoils!$B$12:$I$21,5,FALSE),IF(J100="600",HLOOKUP($M$4,Fancoils!$B$12:$I$21,6,FALSE),IF(J100="800",HLOOKUP($M$4,Fancoils!$B$12:$I$21,7,FALSE),IF(J100="1000",HLOOKUP($M$4,Fancoils!$B$12:$I$21,8,FALSE),IF(J100="1200",HLOOKUP($M$4,Fancoils!$B$12:$I$21,9,FALSE),IF(J100="1400",HLOOKUP($M$4,Fancoils!$B$12:$I$21,10,FALSE))))))))))</f>
        <v>1.8</v>
      </c>
      <c r="N100" s="10">
        <f>IF(J100="200",HLOOKUP($N$4,Fancoils!$B$12:$I$21,2,FALSE),IF(J100="300",HLOOKUP($N$4,Fancoils!$B$12:$I$21,3,FALSE),IF(J100="400",HLOOKUP($N$4,Fancoils!$B$12:$I$21,4,FALSE),IF(J100="500",HLOOKUP($N$4,Fancoils!$B$12:$I$21,5,FALSE),IF(J100="600",HLOOKUP($N$4,Fancoils!$B$12:$I$21,6,FALSE),IF(J100="800",HLOOKUP($N$4,Fancoils!$B$12:$I$21,7,FALSE),IF(J100="1000",HLOOKUP($N$4,Fancoils!$B$12:$I$21,8,FALSE),IF(J100="1200",HLOOKUP($N$4,Fancoils!$B$12:$I$21,9,FALSE),IF(J100="1400",HLOOKUP($N$4,Fancoils!$B$12:$I$21,10,FALSE))))))))))</f>
        <v>340</v>
      </c>
      <c r="O100" s="36">
        <f>REPORTE!P102</f>
        <v>49.5</v>
      </c>
      <c r="P100" s="36">
        <f t="shared" si="100"/>
        <v>178.20000000000002</v>
      </c>
      <c r="Q100" s="17">
        <v>240</v>
      </c>
      <c r="R100" s="17" t="s">
        <v>18</v>
      </c>
      <c r="S100" s="17">
        <v>2</v>
      </c>
      <c r="T100" s="37">
        <f t="shared" si="98"/>
        <v>170</v>
      </c>
      <c r="U100" s="20">
        <f t="shared" si="99"/>
        <v>161.79999999999998</v>
      </c>
      <c r="V100" s="87"/>
      <c r="W100" s="12">
        <f>IF(J100="200",HLOOKUP($W$4,Fancoils!$B$12:$S$21,2,FALSE),IF(J100="300",HLOOKUP($W$4,Fancoils!$B$12:$S$21,3,FALSE),IF(J100="400",HLOOKUP($W$4,Fancoils!$B$12:$S$21,4,FALSE),IF(J100="500",HLOOKUP($W$4,Fancoils!$B$12:$S$21,5,FALSE),IF(J100="600",HLOOKUP($W$4,Fancoils!$B$12:$S$21,6,FALSE),IF(J100="800",HLOOKUP($W$4,Fancoils!$B$12:$S$21,7,FALSE),IF(J100="1000",HLOOKUP($W$4,Fancoils!$B$12:$S$21,8,FALSE),IF(J100="1200",HLOOKUP($W$4,Fancoils!$B$12:$S$21,9,FALSE),IF(J100="1400",HLOOKUP($W$4,Fancoils!$B$12:$S$21,10,FALSE))))))))))</f>
        <v>5.7333333333333334</v>
      </c>
      <c r="X100" s="12">
        <f>IF(J100="200",HLOOKUP($X$4,Fancoils!$B$12:$S$21,2,FALSE),IF(J100="300",HLOOKUP($X$4,Fancoils!$B$12:$S$21,3,FALSE),IF(J100="400",HLOOKUP($X$4,Fancoils!$B$12:$S$21,4,FALSE),IF(J100="500",HLOOKUP($X$4,Fancoils!$B$12:$S$21,5,FALSE),IF(J100="600",HLOOKUP($X$4,Fancoils!$B$12:$S$21,6,FALSE),IF(J100="800",HLOOKUP($X$4,Fancoils!$B$12:$S$21,7,FALSE),IF(J100="1000",HLOOKUP($X$4,Fancoils!$B$12:$S$21,8,FALSE),IF(J100="1200",HLOOKUP($X$4,Fancoils!$B$12:$S$21,9,FALSE),IF(J100="1400",HLOOKUP($X$4,Fancoils!$B$12:$S$21,10,FALSE))))))))))</f>
        <v>4.333333333333333</v>
      </c>
      <c r="Y100" s="33" t="s">
        <v>357</v>
      </c>
      <c r="Z100" s="2">
        <f t="shared" si="101"/>
        <v>2.97</v>
      </c>
      <c r="AA100"/>
    </row>
    <row r="101" spans="1:29" x14ac:dyDescent="0.25">
      <c r="B101" s="10">
        <v>1</v>
      </c>
      <c r="C101" s="11" t="str">
        <f>REPORTE!A103</f>
        <v xml:space="preserve">1P 29 BODEGA PNAC       </v>
      </c>
      <c r="D101" s="10" t="s">
        <v>301</v>
      </c>
      <c r="E101" s="10"/>
      <c r="F101" s="35"/>
      <c r="G101" s="12"/>
      <c r="H101" s="12"/>
      <c r="I101" s="12"/>
      <c r="J101" s="12" t="str">
        <f t="shared" si="90"/>
        <v>200</v>
      </c>
      <c r="K101" s="10">
        <f>IF(J101="200",HLOOKUP($K$4,Fancoils!$B$12:$I$21,2,FALSE),IF(J101="300",HLOOKUP($K$4,Fancoils!$B$12:$I$21,3,FALSE),IF(J101="400",HLOOKUP($K$4,Fancoils!$B$12:$I$21,4,FALSE),IF(J101="500",HLOOKUP($K$4,Fancoils!$B$12:$I$21,5,FALSE),IF(J101="600",HLOOKUP($K$4,Fancoils!$B$12:$I$21,6,FALSE),IF(J101="800",HLOOKUP($K$4,Fancoils!$B$12:$I$21,7,FALSE),IF(J101="1000",HLOOKUP($K$4,Fancoils!$B$12:$I$21,8,FALSE),IF(J101="1200",HLOOKUP($K$4,Fancoils!$B$12:$I$21,9,FALSE),IF(J101="1400",HLOOKUP($K$4,Fancoils!$B$12:$I$21,10,FALSE))))))))))</f>
        <v>2</v>
      </c>
      <c r="L101" s="10">
        <f>IF(J101="200",HLOOKUP($L$4,Fancoils!$B$12:$I$21,2,FALSE),IF(J101="300",HLOOKUP($L$4,Fancoils!$B$12:$I$21,3,FALSE),IF(J101="400",HLOOKUP($L$4,Fancoils!$B$12:$I$21,4,FALSE),IF(J101="500",HLOOKUP($L$4,Fancoils!$B$12:$I$21,5,FALSE),IF(J101="600",HLOOKUP($L$4,Fancoils!$B$12:$I$21,6,FALSE),IF(J101="800",HLOOKUP($L$4,Fancoils!$B$12:$I$21,7,FALSE),IF(J101="1000",HLOOKUP($L$4,Fancoils!$B$12:$I$21,8,FALSE),IF(J101="1200",HLOOKUP($L$4,Fancoils!$B$12:$I$21,9,FALSE),IF(J101="1400",HLOOKUP($L$4,Fancoils!$B$12:$I$21,10,FALSE))))))))))</f>
        <v>1.38</v>
      </c>
      <c r="M101" s="10">
        <f>IF(J101="200",HLOOKUP($M$4,Fancoils!$B$12:$I$21,2,FALSE),IF(J101="300",HLOOKUP($M$4,Fancoils!$B$12:$I$21,3,FALSE),IF(J101="400",HLOOKUP($M$4,Fancoils!$B$12:$I$21,4,FALSE),IF(J101="500",HLOOKUP($M$4,Fancoils!$B$12:$I$21,5,FALSE),IF(J101="600",HLOOKUP($M$4,Fancoils!$B$12:$I$21,6,FALSE),IF(J101="800",HLOOKUP($M$4,Fancoils!$B$12:$I$21,7,FALSE),IF(J101="1000",HLOOKUP($M$4,Fancoils!$B$12:$I$21,8,FALSE),IF(J101="1200",HLOOKUP($M$4,Fancoils!$B$12:$I$21,9,FALSE),IF(J101="1400",HLOOKUP($M$4,Fancoils!$B$12:$I$21,10,FALSE))))))))))</f>
        <v>1.8</v>
      </c>
      <c r="N101" s="10">
        <f>IF(J101="200",HLOOKUP($N$4,Fancoils!$B$12:$I$21,2,FALSE),IF(J101="300",HLOOKUP($N$4,Fancoils!$B$12:$I$21,3,FALSE),IF(J101="400",HLOOKUP($N$4,Fancoils!$B$12:$I$21,4,FALSE),IF(J101="500",HLOOKUP($N$4,Fancoils!$B$12:$I$21,5,FALSE),IF(J101="600",HLOOKUP($N$4,Fancoils!$B$12:$I$21,6,FALSE),IF(J101="800",HLOOKUP($N$4,Fancoils!$B$12:$I$21,7,FALSE),IF(J101="1000",HLOOKUP($N$4,Fancoils!$B$12:$I$21,8,FALSE),IF(J101="1200",HLOOKUP($N$4,Fancoils!$B$12:$I$21,9,FALSE),IF(J101="1400",HLOOKUP($N$4,Fancoils!$B$12:$I$21,10,FALSE))))))))))</f>
        <v>340</v>
      </c>
      <c r="O101" s="36">
        <f>REPORTE!P103</f>
        <v>35</v>
      </c>
      <c r="P101" s="14">
        <f t="shared" ref="P101:P105" si="102">O101*3.6</f>
        <v>126</v>
      </c>
      <c r="Q101" s="10" t="b">
        <f>IF(J101="300",HLOOKUP($Q$4,Fancoils!$B$12:$I$21,2,FALSE),IF(J101="400",HLOOKUP($Q$4,Fancoils!$B$12:$I$21,3,FALSE),IF(J101="500",HLOOKUP($Q$4,Fancoils!$B$12:$I$21,4,FALSE),IF(J101="600",HLOOKUP($Q$4,Fancoils!$B$12:$I$21,5,FALSE),IF(J101="750",HLOOKUP($Q$4,Fancoils!$B$12:$I$21,6,FALSE),IF(J101="850",HLOOKUP($Q$4,Fancoils!$B$12:$I$21,7,FALSE),IF(J101="950",HLOOKUP($Q$4,Fancoils!$B$12:$I$21,8,FALSE),IF(J101="1200",HLOOKUP($Q$4,Fancoils!$B$12:$I$21,9,FALSE),IF(J101="1500",HLOOKUP($Q$4,Fancoils!$B$12:$I$21,10,FALSE))))))))))</f>
        <v>0</v>
      </c>
      <c r="R101" s="10" t="s">
        <v>59</v>
      </c>
      <c r="S101" s="10">
        <v>2</v>
      </c>
      <c r="T101" s="22">
        <f t="shared" ref="T101:T105" si="103">N101/S101</f>
        <v>170</v>
      </c>
      <c r="U101" s="13">
        <f t="shared" ref="U101:U105" si="104">N101-P101</f>
        <v>214</v>
      </c>
      <c r="W101" s="12"/>
      <c r="X101" s="12"/>
      <c r="Y101" s="33" t="s">
        <v>121</v>
      </c>
      <c r="Z101" s="2">
        <f t="shared" si="101"/>
        <v>2.1</v>
      </c>
      <c r="AA101" t="s">
        <v>121</v>
      </c>
      <c r="AB101">
        <f>Z101+Z102</f>
        <v>4.2</v>
      </c>
      <c r="AC101" t="s">
        <v>111</v>
      </c>
    </row>
    <row r="102" spans="1:29" x14ac:dyDescent="0.25">
      <c r="B102" s="10">
        <v>1</v>
      </c>
      <c r="C102" s="11" t="str">
        <f>REPORTE!A104</f>
        <v xml:space="preserve">1P 30 BODEGA FARMACIA   </v>
      </c>
      <c r="D102" s="10" t="s">
        <v>302</v>
      </c>
      <c r="E102" s="10"/>
      <c r="F102" s="35"/>
      <c r="G102" s="12"/>
      <c r="H102" s="12"/>
      <c r="I102" s="12"/>
      <c r="J102" s="12" t="str">
        <f t="shared" si="90"/>
        <v>200</v>
      </c>
      <c r="K102" s="10">
        <f>IF(J102="200",HLOOKUP($K$4,Fancoils!$B$12:$I$21,2,FALSE),IF(J102="300",HLOOKUP($K$4,Fancoils!$B$12:$I$21,3,FALSE),IF(J102="400",HLOOKUP($K$4,Fancoils!$B$12:$I$21,4,FALSE),IF(J102="500",HLOOKUP($K$4,Fancoils!$B$12:$I$21,5,FALSE),IF(J102="600",HLOOKUP($K$4,Fancoils!$B$12:$I$21,6,FALSE),IF(J102="800",HLOOKUP($K$4,Fancoils!$B$12:$I$21,7,FALSE),IF(J102="1000",HLOOKUP($K$4,Fancoils!$B$12:$I$21,8,FALSE),IF(J102="1200",HLOOKUP($K$4,Fancoils!$B$12:$I$21,9,FALSE),IF(J102="1400",HLOOKUP($K$4,Fancoils!$B$12:$I$21,10,FALSE))))))))))</f>
        <v>2</v>
      </c>
      <c r="L102" s="10">
        <f>IF(J102="200",HLOOKUP($L$4,Fancoils!$B$12:$I$21,2,FALSE),IF(J102="300",HLOOKUP($L$4,Fancoils!$B$12:$I$21,3,FALSE),IF(J102="400",HLOOKUP($L$4,Fancoils!$B$12:$I$21,4,FALSE),IF(J102="500",HLOOKUP($L$4,Fancoils!$B$12:$I$21,5,FALSE),IF(J102="600",HLOOKUP($L$4,Fancoils!$B$12:$I$21,6,FALSE),IF(J102="800",HLOOKUP($L$4,Fancoils!$B$12:$I$21,7,FALSE),IF(J102="1000",HLOOKUP($L$4,Fancoils!$B$12:$I$21,8,FALSE),IF(J102="1200",HLOOKUP($L$4,Fancoils!$B$12:$I$21,9,FALSE),IF(J102="1400",HLOOKUP($L$4,Fancoils!$B$12:$I$21,10,FALSE))))))))))</f>
        <v>1.38</v>
      </c>
      <c r="M102" s="10">
        <f>IF(J102="200",HLOOKUP($M$4,Fancoils!$B$12:$I$21,2,FALSE),IF(J102="300",HLOOKUP($M$4,Fancoils!$B$12:$I$21,3,FALSE),IF(J102="400",HLOOKUP($M$4,Fancoils!$B$12:$I$21,4,FALSE),IF(J102="500",HLOOKUP($M$4,Fancoils!$B$12:$I$21,5,FALSE),IF(J102="600",HLOOKUP($M$4,Fancoils!$B$12:$I$21,6,FALSE),IF(J102="800",HLOOKUP($M$4,Fancoils!$B$12:$I$21,7,FALSE),IF(J102="1000",HLOOKUP($M$4,Fancoils!$B$12:$I$21,8,FALSE),IF(J102="1200",HLOOKUP($M$4,Fancoils!$B$12:$I$21,9,FALSE),IF(J102="1400",HLOOKUP($M$4,Fancoils!$B$12:$I$21,10,FALSE))))))))))</f>
        <v>1.8</v>
      </c>
      <c r="N102" s="10">
        <f>IF(J102="200",HLOOKUP($N$4,Fancoils!$B$12:$I$21,2,FALSE),IF(J102="300",HLOOKUP($N$4,Fancoils!$B$12:$I$21,3,FALSE),IF(J102="400",HLOOKUP($N$4,Fancoils!$B$12:$I$21,4,FALSE),IF(J102="500",HLOOKUP($N$4,Fancoils!$B$12:$I$21,5,FALSE),IF(J102="600",HLOOKUP($N$4,Fancoils!$B$12:$I$21,6,FALSE),IF(J102="800",HLOOKUP($N$4,Fancoils!$B$12:$I$21,7,FALSE),IF(J102="1000",HLOOKUP($N$4,Fancoils!$B$12:$I$21,8,FALSE),IF(J102="1200",HLOOKUP($N$4,Fancoils!$B$12:$I$21,9,FALSE),IF(J102="1400",HLOOKUP($N$4,Fancoils!$B$12:$I$21,10,FALSE))))))))))</f>
        <v>340</v>
      </c>
      <c r="O102" s="36">
        <f>REPORTE!P104</f>
        <v>35</v>
      </c>
      <c r="P102" s="14">
        <f t="shared" si="102"/>
        <v>126</v>
      </c>
      <c r="Q102" s="10" t="b">
        <f>IF(J102="300",HLOOKUP($Q$4,Fancoils!$B$12:$I$21,2,FALSE),IF(J102="400",HLOOKUP($Q$4,Fancoils!$B$12:$I$21,3,FALSE),IF(J102="500",HLOOKUP($Q$4,Fancoils!$B$12:$I$21,4,FALSE),IF(J102="600",HLOOKUP($Q$4,Fancoils!$B$12:$I$21,5,FALSE),IF(J102="750",HLOOKUP($Q$4,Fancoils!$B$12:$I$21,6,FALSE),IF(J102="850",HLOOKUP($Q$4,Fancoils!$B$12:$I$21,7,FALSE),IF(J102="950",HLOOKUP($Q$4,Fancoils!$B$12:$I$21,8,FALSE),IF(J102="1200",HLOOKUP($Q$4,Fancoils!$B$12:$I$21,9,FALSE),IF(J102="1500",HLOOKUP($Q$4,Fancoils!$B$12:$I$21,10,FALSE))))))))))</f>
        <v>0</v>
      </c>
      <c r="R102" s="10" t="s">
        <v>59</v>
      </c>
      <c r="S102" s="10">
        <v>2</v>
      </c>
      <c r="T102" s="22">
        <f t="shared" si="103"/>
        <v>170</v>
      </c>
      <c r="U102" s="13">
        <f t="shared" si="104"/>
        <v>214</v>
      </c>
      <c r="W102" s="12"/>
      <c r="X102" s="12"/>
      <c r="Y102" t="s">
        <v>119</v>
      </c>
      <c r="Z102" s="2">
        <f t="shared" si="101"/>
        <v>2.1</v>
      </c>
      <c r="AA102" t="s">
        <v>111</v>
      </c>
    </row>
    <row r="103" spans="1:29" x14ac:dyDescent="0.25">
      <c r="B103" s="10">
        <v>2</v>
      </c>
      <c r="C103" s="11" t="str">
        <f>REPORTE!A105</f>
        <v xml:space="preserve">2P 50 ALTILLO BODEGA PNAC       </v>
      </c>
      <c r="D103" s="10" t="s">
        <v>301</v>
      </c>
      <c r="E103" s="10"/>
      <c r="F103" s="35"/>
      <c r="G103" s="12"/>
      <c r="H103" s="12"/>
      <c r="I103" s="12"/>
      <c r="J103" s="12" t="str">
        <f t="shared" ref="J103:J104" si="105">+IF(G103&lt;1.38,"200",IF(AND(1.39&lt;G103,G103&lt;1.86),"300",IF(AND(1.87&lt;G103,G103&lt;2.48),"400",IF(AND(2.49&lt;G103,G103&lt;2.96),"500",IF(AND(2.97&lt;G103,G103&lt;3.44),"600",IF(AND(3.45&lt;G103,G103&lt;4.68),"800",IF(AND(4.69&lt;G103,G103&lt;5.37),"1000",IF(AND(5.38&lt;G103,G103&lt;7.02),"1200",IF(AND(7.1&lt;G103,G103&gt;7.92),"1400",)))))))))</f>
        <v>200</v>
      </c>
      <c r="K103" s="10">
        <f>IF(J103="200",HLOOKUP($K$4,Fancoils!$B$12:$I$21,2,FALSE),IF(J103="300",HLOOKUP($K$4,Fancoils!$B$12:$I$21,3,FALSE),IF(J103="400",HLOOKUP($K$4,Fancoils!$B$12:$I$21,4,FALSE),IF(J103="500",HLOOKUP($K$4,Fancoils!$B$12:$I$21,5,FALSE),IF(J103="600",HLOOKUP($K$4,Fancoils!$B$12:$I$21,6,FALSE),IF(J103="800",HLOOKUP($K$4,Fancoils!$B$12:$I$21,7,FALSE),IF(J103="1000",HLOOKUP($K$4,Fancoils!$B$12:$I$21,8,FALSE),IF(J103="1200",HLOOKUP($K$4,Fancoils!$B$12:$I$21,9,FALSE),IF(J103="1400",HLOOKUP($K$4,Fancoils!$B$12:$I$21,10,FALSE))))))))))</f>
        <v>2</v>
      </c>
      <c r="L103" s="10">
        <f>IF(J103="200",HLOOKUP($L$4,Fancoils!$B$12:$I$21,2,FALSE),IF(J103="300",HLOOKUP($L$4,Fancoils!$B$12:$I$21,3,FALSE),IF(J103="400",HLOOKUP($L$4,Fancoils!$B$12:$I$21,4,FALSE),IF(J103="500",HLOOKUP($L$4,Fancoils!$B$12:$I$21,5,FALSE),IF(J103="600",HLOOKUP($L$4,Fancoils!$B$12:$I$21,6,FALSE),IF(J103="800",HLOOKUP($L$4,Fancoils!$B$12:$I$21,7,FALSE),IF(J103="1000",HLOOKUP($L$4,Fancoils!$B$12:$I$21,8,FALSE),IF(J103="1200",HLOOKUP($L$4,Fancoils!$B$12:$I$21,9,FALSE),IF(J103="1400",HLOOKUP($L$4,Fancoils!$B$12:$I$21,10,FALSE))))))))))</f>
        <v>1.38</v>
      </c>
      <c r="M103" s="10">
        <f>IF(J103="200",HLOOKUP($M$4,Fancoils!$B$12:$I$21,2,FALSE),IF(J103="300",HLOOKUP($M$4,Fancoils!$B$12:$I$21,3,FALSE),IF(J103="400",HLOOKUP($M$4,Fancoils!$B$12:$I$21,4,FALSE),IF(J103="500",HLOOKUP($M$4,Fancoils!$B$12:$I$21,5,FALSE),IF(J103="600",HLOOKUP($M$4,Fancoils!$B$12:$I$21,6,FALSE),IF(J103="800",HLOOKUP($M$4,Fancoils!$B$12:$I$21,7,FALSE),IF(J103="1000",HLOOKUP($M$4,Fancoils!$B$12:$I$21,8,FALSE),IF(J103="1200",HLOOKUP($M$4,Fancoils!$B$12:$I$21,9,FALSE),IF(J103="1400",HLOOKUP($M$4,Fancoils!$B$12:$I$21,10,FALSE))))))))))</f>
        <v>1.8</v>
      </c>
      <c r="N103" s="10">
        <f>IF(J103="200",HLOOKUP($N$4,Fancoils!$B$12:$I$21,2,FALSE),IF(J103="300",HLOOKUP($N$4,Fancoils!$B$12:$I$21,3,FALSE),IF(J103="400",HLOOKUP($N$4,Fancoils!$B$12:$I$21,4,FALSE),IF(J103="500",HLOOKUP($N$4,Fancoils!$B$12:$I$21,5,FALSE),IF(J103="600",HLOOKUP($N$4,Fancoils!$B$12:$I$21,6,FALSE),IF(J103="800",HLOOKUP($N$4,Fancoils!$B$12:$I$21,7,FALSE),IF(J103="1000",HLOOKUP($N$4,Fancoils!$B$12:$I$21,8,FALSE),IF(J103="1200",HLOOKUP($N$4,Fancoils!$B$12:$I$21,9,FALSE),IF(J103="1400",HLOOKUP($N$4,Fancoils!$B$12:$I$21,10,FALSE))))))))))</f>
        <v>340</v>
      </c>
      <c r="O103" s="36">
        <f>REPORTE!P105</f>
        <v>35</v>
      </c>
      <c r="P103" s="14">
        <f t="shared" ref="P103:P104" si="106">O103*3.6</f>
        <v>126</v>
      </c>
      <c r="Q103" s="10" t="b">
        <f>IF(J103="300",HLOOKUP($Q$4,Fancoils!$B$12:$I$21,2,FALSE),IF(J103="400",HLOOKUP($Q$4,Fancoils!$B$12:$I$21,3,FALSE),IF(J103="500",HLOOKUP($Q$4,Fancoils!$B$12:$I$21,4,FALSE),IF(J103="600",HLOOKUP($Q$4,Fancoils!$B$12:$I$21,5,FALSE),IF(J103="750",HLOOKUP($Q$4,Fancoils!$B$12:$I$21,6,FALSE),IF(J103="850",HLOOKUP($Q$4,Fancoils!$B$12:$I$21,7,FALSE),IF(J103="950",HLOOKUP($Q$4,Fancoils!$B$12:$I$21,8,FALSE),IF(J103="1200",HLOOKUP($Q$4,Fancoils!$B$12:$I$21,9,FALSE),IF(J103="1500",HLOOKUP($Q$4,Fancoils!$B$12:$I$21,10,FALSE))))))))))</f>
        <v>0</v>
      </c>
      <c r="R103" s="10" t="s">
        <v>59</v>
      </c>
      <c r="S103" s="10">
        <v>2</v>
      </c>
      <c r="T103" s="22">
        <f t="shared" ref="T103:T104" si="107">N103/S103</f>
        <v>170</v>
      </c>
      <c r="U103" s="13">
        <f t="shared" ref="U103:U104" si="108">N103-P103</f>
        <v>214</v>
      </c>
      <c r="W103" s="12"/>
      <c r="X103" s="12"/>
      <c r="Z103" s="2"/>
    </row>
    <row r="104" spans="1:29" x14ac:dyDescent="0.25">
      <c r="B104" s="10">
        <v>2</v>
      </c>
      <c r="C104" s="11" t="str">
        <f>REPORTE!A106</f>
        <v xml:space="preserve">2P 57 ALTILLO BODEGA FARMACIA   </v>
      </c>
      <c r="D104" s="10" t="s">
        <v>302</v>
      </c>
      <c r="E104" s="10"/>
      <c r="F104" s="35"/>
      <c r="G104" s="12"/>
      <c r="H104" s="12"/>
      <c r="I104" s="12"/>
      <c r="J104" s="12" t="str">
        <f t="shared" si="105"/>
        <v>200</v>
      </c>
      <c r="K104" s="10">
        <f>IF(J104="200",HLOOKUP($K$4,Fancoils!$B$12:$I$21,2,FALSE),IF(J104="300",HLOOKUP($K$4,Fancoils!$B$12:$I$21,3,FALSE),IF(J104="400",HLOOKUP($K$4,Fancoils!$B$12:$I$21,4,FALSE),IF(J104="500",HLOOKUP($K$4,Fancoils!$B$12:$I$21,5,FALSE),IF(J104="600",HLOOKUP($K$4,Fancoils!$B$12:$I$21,6,FALSE),IF(J104="800",HLOOKUP($K$4,Fancoils!$B$12:$I$21,7,FALSE),IF(J104="1000",HLOOKUP($K$4,Fancoils!$B$12:$I$21,8,FALSE),IF(J104="1200",HLOOKUP($K$4,Fancoils!$B$12:$I$21,9,FALSE),IF(J104="1400",HLOOKUP($K$4,Fancoils!$B$12:$I$21,10,FALSE))))))))))</f>
        <v>2</v>
      </c>
      <c r="L104" s="10">
        <f>IF(J104="200",HLOOKUP($L$4,Fancoils!$B$12:$I$21,2,FALSE),IF(J104="300",HLOOKUP($L$4,Fancoils!$B$12:$I$21,3,FALSE),IF(J104="400",HLOOKUP($L$4,Fancoils!$B$12:$I$21,4,FALSE),IF(J104="500",HLOOKUP($L$4,Fancoils!$B$12:$I$21,5,FALSE),IF(J104="600",HLOOKUP($L$4,Fancoils!$B$12:$I$21,6,FALSE),IF(J104="800",HLOOKUP($L$4,Fancoils!$B$12:$I$21,7,FALSE),IF(J104="1000",HLOOKUP($L$4,Fancoils!$B$12:$I$21,8,FALSE),IF(J104="1200",HLOOKUP($L$4,Fancoils!$B$12:$I$21,9,FALSE),IF(J104="1400",HLOOKUP($L$4,Fancoils!$B$12:$I$21,10,FALSE))))))))))</f>
        <v>1.38</v>
      </c>
      <c r="M104" s="10">
        <f>IF(J104="200",HLOOKUP($M$4,Fancoils!$B$12:$I$21,2,FALSE),IF(J104="300",HLOOKUP($M$4,Fancoils!$B$12:$I$21,3,FALSE),IF(J104="400",HLOOKUP($M$4,Fancoils!$B$12:$I$21,4,FALSE),IF(J104="500",HLOOKUP($M$4,Fancoils!$B$12:$I$21,5,FALSE),IF(J104="600",HLOOKUP($M$4,Fancoils!$B$12:$I$21,6,FALSE),IF(J104="800",HLOOKUP($M$4,Fancoils!$B$12:$I$21,7,FALSE),IF(J104="1000",HLOOKUP($M$4,Fancoils!$B$12:$I$21,8,FALSE),IF(J104="1200",HLOOKUP($M$4,Fancoils!$B$12:$I$21,9,FALSE),IF(J104="1400",HLOOKUP($M$4,Fancoils!$B$12:$I$21,10,FALSE))))))))))</f>
        <v>1.8</v>
      </c>
      <c r="N104" s="10">
        <f>IF(J104="200",HLOOKUP($N$4,Fancoils!$B$12:$I$21,2,FALSE),IF(J104="300",HLOOKUP($N$4,Fancoils!$B$12:$I$21,3,FALSE),IF(J104="400",HLOOKUP($N$4,Fancoils!$B$12:$I$21,4,FALSE),IF(J104="500",HLOOKUP($N$4,Fancoils!$B$12:$I$21,5,FALSE),IF(J104="600",HLOOKUP($N$4,Fancoils!$B$12:$I$21,6,FALSE),IF(J104="800",HLOOKUP($N$4,Fancoils!$B$12:$I$21,7,FALSE),IF(J104="1000",HLOOKUP($N$4,Fancoils!$B$12:$I$21,8,FALSE),IF(J104="1200",HLOOKUP($N$4,Fancoils!$B$12:$I$21,9,FALSE),IF(J104="1400",HLOOKUP($N$4,Fancoils!$B$12:$I$21,10,FALSE))))))))))</f>
        <v>340</v>
      </c>
      <c r="O104" s="36">
        <f>REPORTE!P106</f>
        <v>35</v>
      </c>
      <c r="P104" s="14">
        <f t="shared" si="106"/>
        <v>126</v>
      </c>
      <c r="Q104" s="10" t="b">
        <f>IF(J104="300",HLOOKUP($Q$4,Fancoils!$B$12:$I$21,2,FALSE),IF(J104="400",HLOOKUP($Q$4,Fancoils!$B$12:$I$21,3,FALSE),IF(J104="500",HLOOKUP($Q$4,Fancoils!$B$12:$I$21,4,FALSE),IF(J104="600",HLOOKUP($Q$4,Fancoils!$B$12:$I$21,5,FALSE),IF(J104="750",HLOOKUP($Q$4,Fancoils!$B$12:$I$21,6,FALSE),IF(J104="850",HLOOKUP($Q$4,Fancoils!$B$12:$I$21,7,FALSE),IF(J104="950",HLOOKUP($Q$4,Fancoils!$B$12:$I$21,8,FALSE),IF(J104="1200",HLOOKUP($Q$4,Fancoils!$B$12:$I$21,9,FALSE),IF(J104="1500",HLOOKUP($Q$4,Fancoils!$B$12:$I$21,10,FALSE))))))))))</f>
        <v>0</v>
      </c>
      <c r="R104" s="10" t="s">
        <v>59</v>
      </c>
      <c r="S104" s="10">
        <v>2</v>
      </c>
      <c r="T104" s="22">
        <f t="shared" si="107"/>
        <v>170</v>
      </c>
      <c r="U104" s="13">
        <f t="shared" si="108"/>
        <v>214</v>
      </c>
      <c r="W104" s="12"/>
      <c r="X104" s="12"/>
      <c r="Z104" s="2"/>
    </row>
    <row r="105" spans="1:29" x14ac:dyDescent="0.25">
      <c r="B105" s="10">
        <v>3</v>
      </c>
      <c r="C105" s="11" t="str">
        <f>REPORTE!A107</f>
        <v xml:space="preserve">3P 82 SALA TIC          </v>
      </c>
      <c r="D105" s="10" t="s">
        <v>303</v>
      </c>
      <c r="E105" s="10"/>
      <c r="F105" s="35"/>
      <c r="G105" s="12"/>
      <c r="H105" s="12"/>
      <c r="I105" s="12"/>
      <c r="J105" s="12" t="str">
        <f t="shared" si="90"/>
        <v>200</v>
      </c>
      <c r="K105" s="10">
        <f>IF(J105="200",HLOOKUP($K$4,Fancoils!$B$12:$I$21,2,FALSE),IF(J105="300",HLOOKUP($K$4,Fancoils!$B$12:$I$21,3,FALSE),IF(J105="400",HLOOKUP($K$4,Fancoils!$B$12:$I$21,4,FALSE),IF(J105="500",HLOOKUP($K$4,Fancoils!$B$12:$I$21,5,FALSE),IF(J105="600",HLOOKUP($K$4,Fancoils!$B$12:$I$21,6,FALSE),IF(J105="800",HLOOKUP($K$4,Fancoils!$B$12:$I$21,7,FALSE),IF(J105="1000",HLOOKUP($K$4,Fancoils!$B$12:$I$21,8,FALSE),IF(J105="1200",HLOOKUP($K$4,Fancoils!$B$12:$I$21,9,FALSE),IF(J105="1400",HLOOKUP($K$4,Fancoils!$B$12:$I$21,10,FALSE))))))))))</f>
        <v>2</v>
      </c>
      <c r="L105" s="10">
        <f>IF(J105="200",HLOOKUP($L$4,Fancoils!$B$12:$I$21,2,FALSE),IF(J105="300",HLOOKUP($L$4,Fancoils!$B$12:$I$21,3,FALSE),IF(J105="400",HLOOKUP($L$4,Fancoils!$B$12:$I$21,4,FALSE),IF(J105="500",HLOOKUP($L$4,Fancoils!$B$12:$I$21,5,FALSE),IF(J105="600",HLOOKUP($L$4,Fancoils!$B$12:$I$21,6,FALSE),IF(J105="800",HLOOKUP($L$4,Fancoils!$B$12:$I$21,7,FALSE),IF(J105="1000",HLOOKUP($L$4,Fancoils!$B$12:$I$21,8,FALSE),IF(J105="1200",HLOOKUP($L$4,Fancoils!$B$12:$I$21,9,FALSE),IF(J105="1400",HLOOKUP($L$4,Fancoils!$B$12:$I$21,10,FALSE))))))))))</f>
        <v>1.38</v>
      </c>
      <c r="M105" s="10">
        <f>IF(J105="200",HLOOKUP($M$4,Fancoils!$B$12:$I$21,2,FALSE),IF(J105="300",HLOOKUP($M$4,Fancoils!$B$12:$I$21,3,FALSE),IF(J105="400",HLOOKUP($M$4,Fancoils!$B$12:$I$21,4,FALSE),IF(J105="500",HLOOKUP($M$4,Fancoils!$B$12:$I$21,5,FALSE),IF(J105="600",HLOOKUP($M$4,Fancoils!$B$12:$I$21,6,FALSE),IF(J105="800",HLOOKUP($M$4,Fancoils!$B$12:$I$21,7,FALSE),IF(J105="1000",HLOOKUP($M$4,Fancoils!$B$12:$I$21,8,FALSE),IF(J105="1200",HLOOKUP($M$4,Fancoils!$B$12:$I$21,9,FALSE),IF(J105="1400",HLOOKUP($M$4,Fancoils!$B$12:$I$21,10,FALSE))))))))))</f>
        <v>1.8</v>
      </c>
      <c r="N105" s="10">
        <f>IF(J105="200",HLOOKUP($N$4,Fancoils!$B$12:$I$21,2,FALSE),IF(J105="300",HLOOKUP($N$4,Fancoils!$B$12:$I$21,3,FALSE),IF(J105="400",HLOOKUP($N$4,Fancoils!$B$12:$I$21,4,FALSE),IF(J105="500",HLOOKUP($N$4,Fancoils!$B$12:$I$21,5,FALSE),IF(J105="600",HLOOKUP($N$4,Fancoils!$B$12:$I$21,6,FALSE),IF(J105="800",HLOOKUP($N$4,Fancoils!$B$12:$I$21,7,FALSE),IF(J105="1000",HLOOKUP($N$4,Fancoils!$B$12:$I$21,8,FALSE),IF(J105="1200",HLOOKUP($N$4,Fancoils!$B$12:$I$21,9,FALSE),IF(J105="1400",HLOOKUP($N$4,Fancoils!$B$12:$I$21,10,FALSE))))))))))</f>
        <v>340</v>
      </c>
      <c r="O105" s="36">
        <f>REPORTE!P107</f>
        <v>2.9</v>
      </c>
      <c r="P105" s="14">
        <f t="shared" si="102"/>
        <v>10.44</v>
      </c>
      <c r="Q105" s="10" t="b">
        <f>IF(J105="300",HLOOKUP($Q$4,Fancoils!$B$12:$I$21,2,FALSE),IF(J105="400",HLOOKUP($Q$4,Fancoils!$B$12:$I$21,3,FALSE),IF(J105="500",HLOOKUP($Q$4,Fancoils!$B$12:$I$21,4,FALSE),IF(J105="600",HLOOKUP($Q$4,Fancoils!$B$12:$I$21,5,FALSE),IF(J105="750",HLOOKUP($Q$4,Fancoils!$B$12:$I$21,6,FALSE),IF(J105="850",HLOOKUP($Q$4,Fancoils!$B$12:$I$21,7,FALSE),IF(J105="950",HLOOKUP($Q$4,Fancoils!$B$12:$I$21,8,FALSE),IF(J105="1200",HLOOKUP($Q$4,Fancoils!$B$12:$I$21,9,FALSE),IF(J105="1500",HLOOKUP($Q$4,Fancoils!$B$12:$I$21,10,FALSE))))))))))</f>
        <v>0</v>
      </c>
      <c r="R105" s="10" t="s">
        <v>59</v>
      </c>
      <c r="S105" s="10">
        <v>2</v>
      </c>
      <c r="T105" s="22">
        <f t="shared" si="103"/>
        <v>170</v>
      </c>
      <c r="U105" s="13">
        <f t="shared" si="104"/>
        <v>329.56</v>
      </c>
      <c r="W105" s="12"/>
      <c r="X105" s="12"/>
      <c r="Y105" s="33" t="s">
        <v>357</v>
      </c>
      <c r="Z105" s="2">
        <f t="shared" si="101"/>
        <v>0.17399999999999999</v>
      </c>
    </row>
    <row r="106" spans="1:29" x14ac:dyDescent="0.25">
      <c r="B106" s="10"/>
      <c r="C106" s="11"/>
      <c r="D106" s="10"/>
      <c r="E106" s="10"/>
      <c r="F106" s="12"/>
      <c r="G106" s="12"/>
      <c r="H106" s="12"/>
      <c r="I106" s="12"/>
      <c r="J106" s="12"/>
      <c r="K106" s="10"/>
      <c r="L106" s="10"/>
      <c r="M106" s="10"/>
      <c r="N106" s="10"/>
      <c r="O106" s="17"/>
      <c r="P106" s="14"/>
      <c r="Q106" s="10"/>
      <c r="R106" s="10"/>
      <c r="S106" s="10"/>
      <c r="T106" s="22"/>
      <c r="U106" s="13"/>
      <c r="W106" s="12"/>
      <c r="X106" s="12"/>
    </row>
    <row r="107" spans="1:29" x14ac:dyDescent="0.25">
      <c r="B107" s="10"/>
      <c r="C107" s="11"/>
      <c r="D107" s="10"/>
      <c r="E107" s="10"/>
      <c r="F107" s="12"/>
      <c r="G107" s="12"/>
      <c r="H107" s="12"/>
      <c r="I107" s="12"/>
      <c r="J107" s="12"/>
      <c r="K107" s="10"/>
      <c r="L107" s="10"/>
      <c r="M107" s="10"/>
      <c r="N107" s="10"/>
      <c r="O107" s="17"/>
      <c r="P107" s="14"/>
      <c r="Q107" s="10"/>
      <c r="R107" s="10"/>
      <c r="S107" s="10"/>
      <c r="T107" s="22"/>
      <c r="U107" s="13"/>
      <c r="W107" s="12"/>
      <c r="X107" s="12"/>
    </row>
    <row r="108" spans="1:29" x14ac:dyDescent="0.25">
      <c r="B108" s="10"/>
      <c r="C108" s="11"/>
      <c r="D108" s="10"/>
      <c r="E108" s="10"/>
      <c r="F108" s="12"/>
      <c r="G108" s="12"/>
      <c r="H108" s="12"/>
      <c r="I108" s="12"/>
      <c r="J108" s="12"/>
      <c r="K108" s="10"/>
      <c r="L108" s="10"/>
      <c r="M108" s="10"/>
      <c r="N108" s="10"/>
      <c r="O108" s="17"/>
      <c r="P108" s="14"/>
      <c r="Q108" s="10"/>
      <c r="R108" s="10"/>
      <c r="S108" s="10"/>
      <c r="T108" s="22"/>
      <c r="U108" s="13"/>
      <c r="W108" s="12"/>
      <c r="X108" s="12"/>
    </row>
    <row r="109" spans="1:29" x14ac:dyDescent="0.25">
      <c r="B109" s="10"/>
      <c r="C109" s="11"/>
      <c r="D109" s="10"/>
      <c r="E109" s="10"/>
      <c r="F109" s="12"/>
      <c r="G109" s="12"/>
      <c r="H109" s="12"/>
      <c r="I109" s="12"/>
      <c r="J109" s="12"/>
      <c r="K109" s="10"/>
      <c r="L109" s="10"/>
      <c r="M109" s="10"/>
      <c r="N109" s="10"/>
      <c r="O109" s="17"/>
      <c r="P109" s="14"/>
      <c r="Q109" s="10"/>
      <c r="R109" s="10"/>
      <c r="S109" s="10"/>
      <c r="T109" s="22"/>
      <c r="U109" s="13"/>
      <c r="W109" s="12"/>
      <c r="X109" s="12"/>
    </row>
    <row r="110" spans="1:29" s="32" customFormat="1" x14ac:dyDescent="0.25">
      <c r="A110" s="33"/>
      <c r="B110" s="10"/>
      <c r="C110" s="11"/>
      <c r="D110" s="10"/>
      <c r="E110" s="17"/>
      <c r="F110" s="35"/>
      <c r="G110" s="35"/>
      <c r="H110" s="35"/>
      <c r="I110" s="35"/>
      <c r="J110" s="12"/>
      <c r="K110" s="10"/>
      <c r="L110" s="10"/>
      <c r="M110" s="10"/>
      <c r="N110" s="10"/>
      <c r="O110" s="17"/>
      <c r="P110" s="36"/>
      <c r="Q110" s="17"/>
      <c r="R110" s="17"/>
      <c r="S110" s="29"/>
      <c r="T110" s="30"/>
      <c r="U110" s="31"/>
      <c r="V110" s="86"/>
      <c r="W110" s="12"/>
      <c r="X110" s="12"/>
      <c r="AA110"/>
    </row>
    <row r="111" spans="1:29" x14ac:dyDescent="0.25">
      <c r="B111" s="10"/>
      <c r="C111" s="11"/>
      <c r="D111" s="10"/>
      <c r="E111" s="10"/>
      <c r="F111" s="12"/>
      <c r="G111" s="12"/>
      <c r="H111" s="12"/>
      <c r="I111" s="12"/>
      <c r="J111" s="12"/>
      <c r="K111" s="10"/>
      <c r="L111" s="10"/>
      <c r="M111" s="10"/>
      <c r="N111" s="10"/>
      <c r="O111" s="17"/>
      <c r="P111" s="14"/>
      <c r="Q111" s="10"/>
      <c r="R111" s="10"/>
      <c r="S111" s="10"/>
      <c r="T111" s="22"/>
      <c r="U111" s="13"/>
      <c r="W111" s="12"/>
      <c r="X111" s="12"/>
    </row>
    <row r="112" spans="1:29" x14ac:dyDescent="0.25">
      <c r="B112" s="10"/>
      <c r="C112" s="11"/>
      <c r="D112" s="10"/>
      <c r="E112" s="10"/>
      <c r="F112" s="12"/>
      <c r="G112" s="12"/>
      <c r="H112" s="12"/>
      <c r="I112" s="12"/>
      <c r="J112" s="12"/>
      <c r="K112" s="10"/>
      <c r="L112" s="10"/>
      <c r="M112" s="10"/>
      <c r="N112" s="10"/>
      <c r="O112" s="17"/>
      <c r="P112" s="14"/>
      <c r="Q112" s="10"/>
      <c r="R112" s="10"/>
      <c r="S112" s="10"/>
      <c r="T112" s="22"/>
      <c r="U112" s="13"/>
      <c r="W112" s="12"/>
      <c r="X112" s="12"/>
    </row>
    <row r="113" spans="2:24" x14ac:dyDescent="0.25">
      <c r="B113" s="10"/>
      <c r="C113" s="11"/>
      <c r="D113" s="10"/>
      <c r="E113" s="10"/>
      <c r="F113" s="12"/>
      <c r="G113" s="12"/>
      <c r="H113" s="12"/>
      <c r="I113" s="12"/>
      <c r="J113" s="12"/>
      <c r="K113" s="10"/>
      <c r="L113" s="10"/>
      <c r="M113" s="10"/>
      <c r="N113" s="10"/>
      <c r="O113" s="17"/>
      <c r="P113" s="14"/>
      <c r="Q113" s="10"/>
      <c r="R113" s="10"/>
      <c r="S113" s="10"/>
      <c r="T113" s="22"/>
      <c r="U113" s="13"/>
      <c r="W113" s="12"/>
      <c r="X113" s="12"/>
    </row>
    <row r="114" spans="2:24" x14ac:dyDescent="0.25">
      <c r="B114" s="10"/>
      <c r="C114" s="11"/>
      <c r="D114" s="10"/>
      <c r="E114" s="10"/>
      <c r="F114" s="12"/>
      <c r="G114" s="12"/>
      <c r="H114" s="12"/>
      <c r="I114" s="12"/>
      <c r="J114" s="12"/>
      <c r="K114" s="10"/>
      <c r="L114" s="10"/>
      <c r="M114" s="10"/>
      <c r="N114" s="10"/>
      <c r="O114" s="17"/>
      <c r="P114" s="14"/>
      <c r="Q114" s="10"/>
      <c r="R114" s="10"/>
      <c r="S114" s="10"/>
      <c r="T114" s="22"/>
      <c r="U114" s="13"/>
      <c r="W114" s="12"/>
      <c r="X114" s="12"/>
    </row>
    <row r="115" spans="2:24" x14ac:dyDescent="0.25">
      <c r="B115" s="10"/>
      <c r="C115" s="11"/>
      <c r="D115" s="10"/>
      <c r="E115" s="10"/>
      <c r="F115" s="12"/>
      <c r="G115" s="12"/>
      <c r="H115" s="12"/>
      <c r="I115" s="12"/>
      <c r="J115" s="12"/>
      <c r="K115" s="10"/>
      <c r="L115" s="10"/>
      <c r="M115" s="10"/>
      <c r="N115" s="10"/>
      <c r="O115" s="17"/>
      <c r="P115" s="14"/>
      <c r="Q115" s="10"/>
      <c r="R115" s="10"/>
      <c r="S115" s="10"/>
      <c r="T115" s="22"/>
      <c r="U115" s="13"/>
      <c r="W115" s="12"/>
      <c r="X115" s="12"/>
    </row>
    <row r="116" spans="2:24" x14ac:dyDescent="0.25">
      <c r="B116" s="10"/>
      <c r="C116" s="11"/>
      <c r="D116" s="10"/>
      <c r="E116" s="10"/>
      <c r="F116" s="12"/>
      <c r="G116" s="12"/>
      <c r="H116" s="12"/>
      <c r="I116" s="12"/>
      <c r="J116" s="12"/>
      <c r="K116" s="10"/>
      <c r="L116" s="10"/>
      <c r="M116" s="10"/>
      <c r="N116" s="10"/>
      <c r="O116" s="17"/>
      <c r="P116" s="14"/>
      <c r="Q116" s="10"/>
      <c r="R116" s="10"/>
      <c r="S116" s="10"/>
      <c r="T116" s="22"/>
      <c r="U116" s="13"/>
      <c r="W116" s="12"/>
      <c r="X116" s="12"/>
    </row>
    <row r="117" spans="2:24" x14ac:dyDescent="0.25">
      <c r="D117" s="2"/>
      <c r="K117" s="1">
        <f>SUM(K5:K116)</f>
        <v>433.10000000000008</v>
      </c>
      <c r="L117" s="1">
        <f>+L118*2</f>
        <v>560</v>
      </c>
    </row>
    <row r="118" spans="2:24" x14ac:dyDescent="0.25">
      <c r="D118" s="2"/>
      <c r="K118" s="1">
        <f>+K117/2</f>
        <v>216.55000000000004</v>
      </c>
      <c r="L118" s="1">
        <v>280</v>
      </c>
      <c r="W118" t="s">
        <v>387</v>
      </c>
    </row>
    <row r="119" spans="2:24" x14ac:dyDescent="0.25">
      <c r="D119" s="2"/>
      <c r="L119" s="1">
        <f>+L118/K118</f>
        <v>1.293003925190487</v>
      </c>
      <c r="W119" s="59">
        <f>SUM(W5:W116)</f>
        <v>1212.8666666666668</v>
      </c>
      <c r="X119" s="59">
        <f>SUM(X5:X116)</f>
        <v>835.16666666666674</v>
      </c>
    </row>
    <row r="120" spans="2:24" x14ac:dyDescent="0.25">
      <c r="D120" s="2"/>
      <c r="W120">
        <f>W119/60*3.6</f>
        <v>72.772000000000006</v>
      </c>
      <c r="X120">
        <f>X119/60*3.6</f>
        <v>50.110000000000007</v>
      </c>
    </row>
    <row r="121" spans="2:24" x14ac:dyDescent="0.25">
      <c r="D121" s="2"/>
    </row>
    <row r="122" spans="2:24" x14ac:dyDescent="0.25">
      <c r="D122" s="2"/>
    </row>
    <row r="123" spans="2:24" ht="15.75" thickBot="1" x14ac:dyDescent="0.3">
      <c r="D123" s="2"/>
    </row>
    <row r="124" spans="2:24" ht="23.25" customHeight="1" x14ac:dyDescent="0.25">
      <c r="B124" s="102"/>
      <c r="C124" s="102" t="s">
        <v>78</v>
      </c>
      <c r="D124" s="50" t="s">
        <v>79</v>
      </c>
      <c r="E124" s="50" t="s">
        <v>80</v>
      </c>
      <c r="F124" s="50" t="s">
        <v>81</v>
      </c>
      <c r="G124" s="50" t="s">
        <v>11</v>
      </c>
    </row>
    <row r="125" spans="2:24" ht="20.25" customHeight="1" thickBot="1" x14ac:dyDescent="0.3">
      <c r="B125" s="103"/>
      <c r="C125" s="103"/>
      <c r="D125" s="51" t="s">
        <v>82</v>
      </c>
      <c r="E125" s="51" t="s">
        <v>83</v>
      </c>
      <c r="F125" s="51" t="s">
        <v>84</v>
      </c>
      <c r="G125" s="51"/>
    </row>
    <row r="126" spans="2:24" ht="15.75" thickBot="1" x14ac:dyDescent="0.3">
      <c r="B126" s="54"/>
      <c r="C126" s="54" t="s">
        <v>86</v>
      </c>
      <c r="D126" s="52">
        <v>15</v>
      </c>
      <c r="E126" s="53">
        <v>2.5</v>
      </c>
      <c r="F126" s="52">
        <v>45</v>
      </c>
      <c r="G126" s="52" t="s">
        <v>85</v>
      </c>
    </row>
  </sheetData>
  <mergeCells count="25">
    <mergeCell ref="J3:N3"/>
    <mergeCell ref="D66:D67"/>
    <mergeCell ref="D68:D69"/>
    <mergeCell ref="B124:B125"/>
    <mergeCell ref="C124:C125"/>
    <mergeCell ref="D21:D22"/>
    <mergeCell ref="D25:D26"/>
    <mergeCell ref="D31:D32"/>
    <mergeCell ref="D33:D34"/>
    <mergeCell ref="D35:D36"/>
    <mergeCell ref="D37:D38"/>
    <mergeCell ref="D47:D48"/>
    <mergeCell ref="D49:D50"/>
    <mergeCell ref="D53:D54"/>
    <mergeCell ref="D72:D73"/>
    <mergeCell ref="D76:D77"/>
    <mergeCell ref="D45:D46"/>
    <mergeCell ref="D39:D40"/>
    <mergeCell ref="D41:D42"/>
    <mergeCell ref="F3:I3"/>
    <mergeCell ref="C1:E1"/>
    <mergeCell ref="D57:D58"/>
    <mergeCell ref="D62:D63"/>
    <mergeCell ref="D64:D65"/>
    <mergeCell ref="D70:D71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4"/>
  <sheetViews>
    <sheetView zoomScale="70" zoomScaleNormal="70" workbookViewId="0">
      <selection activeCell="I19" sqref="I19"/>
    </sheetView>
  </sheetViews>
  <sheetFormatPr baseColWidth="10" defaultRowHeight="15" x14ac:dyDescent="0.25"/>
  <cols>
    <col min="2" max="2" width="21.28515625" bestFit="1" customWidth="1"/>
    <col min="3" max="3" width="22.5703125" bestFit="1" customWidth="1"/>
    <col min="4" max="4" width="29.7109375" bestFit="1" customWidth="1"/>
    <col min="5" max="5" width="21.5703125" bestFit="1" customWidth="1"/>
    <col min="6" max="6" width="19.7109375" bestFit="1" customWidth="1"/>
    <col min="7" max="7" width="19.42578125" bestFit="1" customWidth="1"/>
    <col min="8" max="8" width="20.7109375" bestFit="1" customWidth="1"/>
    <col min="9" max="9" width="12.42578125" bestFit="1" customWidth="1"/>
    <col min="16" max="16" width="14.42578125" customWidth="1"/>
    <col min="19" max="19" width="15.85546875" customWidth="1"/>
  </cols>
  <sheetData>
    <row r="2" spans="2:19" x14ac:dyDescent="0.25">
      <c r="B2" s="13"/>
      <c r="C2" s="15">
        <v>300</v>
      </c>
      <c r="D2" s="15">
        <v>400</v>
      </c>
      <c r="E2" s="15">
        <v>500</v>
      </c>
      <c r="F2" s="15">
        <v>600</v>
      </c>
      <c r="G2" s="15">
        <v>750</v>
      </c>
      <c r="H2" s="15">
        <v>850</v>
      </c>
    </row>
    <row r="3" spans="2:19" ht="30" x14ac:dyDescent="0.25">
      <c r="B3" s="16" t="s">
        <v>4</v>
      </c>
      <c r="C3" s="13">
        <v>2.5</v>
      </c>
      <c r="D3" s="13">
        <v>2.9</v>
      </c>
      <c r="E3" s="13">
        <v>3.5</v>
      </c>
      <c r="F3" s="13">
        <v>5.0999999999999996</v>
      </c>
      <c r="G3" s="13">
        <v>5.9</v>
      </c>
      <c r="H3" s="13">
        <v>6.1</v>
      </c>
    </row>
    <row r="4" spans="2:19" ht="30" x14ac:dyDescent="0.25">
      <c r="B4" s="16" t="s">
        <v>6</v>
      </c>
      <c r="C4" s="13">
        <v>1.72</v>
      </c>
      <c r="D4" s="13">
        <v>2</v>
      </c>
      <c r="E4" s="13">
        <v>2.41</v>
      </c>
      <c r="F4" s="13">
        <v>3.51</v>
      </c>
      <c r="G4" s="13">
        <v>4.08</v>
      </c>
      <c r="H4" s="13">
        <v>4.25</v>
      </c>
    </row>
    <row r="5" spans="2:19" ht="30" x14ac:dyDescent="0.25">
      <c r="B5" s="16" t="s">
        <v>5</v>
      </c>
      <c r="C5" s="13">
        <v>3.7</v>
      </c>
      <c r="D5" s="13">
        <v>4.5999999999999996</v>
      </c>
      <c r="E5" s="13">
        <v>5.0999999999999996</v>
      </c>
      <c r="F5" s="13">
        <v>6.6</v>
      </c>
      <c r="G5" s="13">
        <v>7.8</v>
      </c>
      <c r="H5" s="13">
        <v>8</v>
      </c>
    </row>
    <row r="6" spans="2:19" ht="30" x14ac:dyDescent="0.25">
      <c r="B6" s="16" t="s">
        <v>7</v>
      </c>
      <c r="C6" s="13">
        <v>510</v>
      </c>
      <c r="D6" s="13">
        <v>680</v>
      </c>
      <c r="E6" s="13">
        <v>850</v>
      </c>
      <c r="F6" s="13">
        <v>1150</v>
      </c>
      <c r="G6" s="13">
        <v>1460</v>
      </c>
      <c r="H6" s="13">
        <v>1480</v>
      </c>
    </row>
    <row r="7" spans="2:19" x14ac:dyDescent="0.25">
      <c r="B7" s="13" t="s">
        <v>14</v>
      </c>
      <c r="C7" s="13">
        <v>7.2</v>
      </c>
      <c r="D7" s="13">
        <v>8.4</v>
      </c>
      <c r="E7" s="13">
        <v>10</v>
      </c>
      <c r="F7" s="13">
        <v>14.6</v>
      </c>
      <c r="G7" s="13">
        <v>17</v>
      </c>
      <c r="H7" s="13">
        <v>17.7</v>
      </c>
    </row>
    <row r="8" spans="2:19" x14ac:dyDescent="0.25">
      <c r="B8" s="13" t="s">
        <v>15</v>
      </c>
      <c r="C8" s="13">
        <v>5.3</v>
      </c>
      <c r="D8" s="13">
        <v>6.6</v>
      </c>
      <c r="E8" s="13">
        <v>7.3</v>
      </c>
      <c r="F8" s="13">
        <v>9.6</v>
      </c>
      <c r="G8" s="13">
        <v>11.3</v>
      </c>
      <c r="H8" s="13">
        <v>11.6</v>
      </c>
    </row>
    <row r="9" spans="2:19" x14ac:dyDescent="0.25">
      <c r="B9" s="13" t="s">
        <v>16</v>
      </c>
      <c r="C9" s="13">
        <v>50</v>
      </c>
      <c r="D9" s="13">
        <v>70</v>
      </c>
      <c r="E9" s="13">
        <v>95</v>
      </c>
      <c r="F9" s="13">
        <v>170</v>
      </c>
      <c r="G9" s="13">
        <v>188</v>
      </c>
      <c r="H9" s="13">
        <v>198</v>
      </c>
    </row>
    <row r="10" spans="2:19" x14ac:dyDescent="0.25">
      <c r="C10" s="18">
        <f t="shared" ref="C10:H10" si="0">C7/C3</f>
        <v>2.88</v>
      </c>
      <c r="D10" s="18">
        <f t="shared" si="0"/>
        <v>2.896551724137931</v>
      </c>
      <c r="E10" s="18">
        <f t="shared" si="0"/>
        <v>2.8571428571428572</v>
      </c>
      <c r="F10" s="18">
        <f t="shared" si="0"/>
        <v>2.8627450980392157</v>
      </c>
      <c r="G10" s="18">
        <f t="shared" si="0"/>
        <v>2.8813559322033897</v>
      </c>
      <c r="H10" s="18">
        <f t="shared" si="0"/>
        <v>2.901639344262295</v>
      </c>
      <c r="I10" s="18">
        <f>AVERAGE(C10:H10)</f>
        <v>2.8799058259642814</v>
      </c>
    </row>
    <row r="11" spans="2:19" x14ac:dyDescent="0.25">
      <c r="C11" s="18">
        <f t="shared" ref="C11:H11" si="1">C8/C5</f>
        <v>1.4324324324324322</v>
      </c>
      <c r="D11" s="18">
        <f t="shared" si="1"/>
        <v>1.4347826086956521</v>
      </c>
      <c r="E11" s="18">
        <f t="shared" si="1"/>
        <v>1.4313725490196079</v>
      </c>
      <c r="F11" s="18">
        <f t="shared" si="1"/>
        <v>1.4545454545454546</v>
      </c>
      <c r="G11" s="18">
        <f t="shared" si="1"/>
        <v>1.4487179487179489</v>
      </c>
      <c r="H11" s="18">
        <f t="shared" si="1"/>
        <v>1.45</v>
      </c>
      <c r="I11" s="18">
        <f>AVERAGE(C11:H11)</f>
        <v>1.4419751655685158</v>
      </c>
    </row>
    <row r="12" spans="2:19" ht="30" x14ac:dyDescent="0.25">
      <c r="B12" s="7" t="s">
        <v>62</v>
      </c>
      <c r="C12" s="7" t="s">
        <v>4</v>
      </c>
      <c r="D12" s="7" t="s">
        <v>6</v>
      </c>
      <c r="E12" s="7" t="s">
        <v>5</v>
      </c>
      <c r="F12" s="7" t="s">
        <v>7</v>
      </c>
      <c r="G12" s="7" t="s">
        <v>14</v>
      </c>
      <c r="H12" s="7" t="s">
        <v>134</v>
      </c>
      <c r="I12" s="7" t="s">
        <v>19</v>
      </c>
      <c r="P12" s="58" t="s">
        <v>14</v>
      </c>
      <c r="S12" s="58" t="s">
        <v>135</v>
      </c>
    </row>
    <row r="13" spans="2:19" x14ac:dyDescent="0.25">
      <c r="B13" s="13">
        <v>200</v>
      </c>
      <c r="C13" s="13">
        <v>2</v>
      </c>
      <c r="D13" s="13">
        <v>1.38</v>
      </c>
      <c r="E13" s="13">
        <v>1.8</v>
      </c>
      <c r="F13" s="13">
        <v>340</v>
      </c>
      <c r="G13" s="46">
        <f>344/60</f>
        <v>5.7333333333333334</v>
      </c>
      <c r="H13" s="46">
        <f>0.26</f>
        <v>0.26</v>
      </c>
      <c r="I13" s="47">
        <v>50</v>
      </c>
      <c r="P13" s="5">
        <v>5.7333333333333334</v>
      </c>
      <c r="Q13" s="2"/>
      <c r="R13" s="2"/>
      <c r="S13" s="5">
        <f>H13/60*1000</f>
        <v>4.333333333333333</v>
      </c>
    </row>
    <row r="14" spans="2:19" x14ac:dyDescent="0.25">
      <c r="B14" s="13">
        <v>300</v>
      </c>
      <c r="C14" s="13">
        <v>2.7</v>
      </c>
      <c r="D14" s="13">
        <v>1.86</v>
      </c>
      <c r="E14" s="13">
        <v>2.4</v>
      </c>
      <c r="F14" s="13">
        <v>510</v>
      </c>
      <c r="G14" s="46">
        <f>464/60</f>
        <v>7.7333333333333334</v>
      </c>
      <c r="H14" s="13">
        <v>0.34</v>
      </c>
      <c r="I14" s="48">
        <v>50</v>
      </c>
      <c r="J14" s="18">
        <v>0.12000000000000001</v>
      </c>
      <c r="K14" s="18">
        <v>8.8333333333333333E-2</v>
      </c>
      <c r="L14">
        <v>1.0366666666666666</v>
      </c>
      <c r="M14">
        <v>0.73</v>
      </c>
      <c r="P14" s="5">
        <v>7.7333333333333334</v>
      </c>
      <c r="Q14" s="2"/>
      <c r="R14" s="2"/>
      <c r="S14" s="5">
        <f t="shared" ref="S14:S21" si="2">H14/60*1000</f>
        <v>5.666666666666667</v>
      </c>
    </row>
    <row r="15" spans="2:19" x14ac:dyDescent="0.25">
      <c r="B15" s="13">
        <v>400</v>
      </c>
      <c r="C15" s="13">
        <v>3.6</v>
      </c>
      <c r="D15" s="13">
        <v>2.48</v>
      </c>
      <c r="E15" s="13">
        <v>3.12</v>
      </c>
      <c r="F15" s="13">
        <v>680</v>
      </c>
      <c r="G15" s="46">
        <f>619/60</f>
        <v>10.316666666666666</v>
      </c>
      <c r="H15" s="13">
        <v>0.45</v>
      </c>
      <c r="I15" s="48">
        <v>70</v>
      </c>
      <c r="J15" s="18">
        <v>0.14000000000000001</v>
      </c>
      <c r="K15" s="18">
        <v>0.11</v>
      </c>
      <c r="L15" s="18">
        <v>1.0866666666666667</v>
      </c>
      <c r="M15" s="18">
        <v>0.7466666666666667</v>
      </c>
      <c r="P15" s="5">
        <v>10.316666666666666</v>
      </c>
      <c r="Q15" s="2"/>
      <c r="R15" s="2"/>
      <c r="S15" s="5">
        <f t="shared" si="2"/>
        <v>7.5000000000000009</v>
      </c>
    </row>
    <row r="16" spans="2:19" x14ac:dyDescent="0.25">
      <c r="B16" s="13">
        <v>500</v>
      </c>
      <c r="C16" s="13">
        <v>4.3</v>
      </c>
      <c r="D16" s="13">
        <v>2.96</v>
      </c>
      <c r="E16" s="13">
        <v>3.42</v>
      </c>
      <c r="F16" s="13">
        <v>850</v>
      </c>
      <c r="G16" s="46">
        <f>740/60</f>
        <v>12.333333333333334</v>
      </c>
      <c r="H16" s="13">
        <v>0.5</v>
      </c>
      <c r="I16" s="48">
        <v>95</v>
      </c>
      <c r="J16" s="18">
        <v>0.16666666666666666</v>
      </c>
      <c r="K16" s="18">
        <v>0.12166666666666666</v>
      </c>
      <c r="L16">
        <v>2.1233333333333331</v>
      </c>
      <c r="M16">
        <v>1.4766666666666666</v>
      </c>
      <c r="P16" s="5">
        <v>12.333333333333334</v>
      </c>
      <c r="Q16" s="2"/>
      <c r="R16" s="2"/>
      <c r="S16" s="5">
        <f t="shared" si="2"/>
        <v>8.3333333333333339</v>
      </c>
    </row>
    <row r="17" spans="2:19" x14ac:dyDescent="0.25">
      <c r="B17" s="13">
        <v>600</v>
      </c>
      <c r="C17" s="13">
        <v>5</v>
      </c>
      <c r="D17" s="13">
        <v>3.44</v>
      </c>
      <c r="E17" s="13">
        <v>4.32</v>
      </c>
      <c r="F17" s="13">
        <v>1020</v>
      </c>
      <c r="G17" s="46">
        <f>860/60</f>
        <v>14.333333333333334</v>
      </c>
      <c r="H17" s="13">
        <v>0.62</v>
      </c>
      <c r="I17" s="48">
        <v>170</v>
      </c>
      <c r="J17" s="18">
        <v>0.24333333333333332</v>
      </c>
      <c r="K17" s="18">
        <v>0.16</v>
      </c>
      <c r="L17">
        <v>0.97333333333333327</v>
      </c>
      <c r="M17">
        <v>0.64</v>
      </c>
      <c r="P17" s="5">
        <v>14.333333333333334</v>
      </c>
      <c r="Q17" s="2"/>
      <c r="R17" s="2"/>
      <c r="S17" s="5">
        <f t="shared" si="2"/>
        <v>10.333333333333334</v>
      </c>
    </row>
    <row r="18" spans="2:19" x14ac:dyDescent="0.25">
      <c r="B18" s="13">
        <v>800</v>
      </c>
      <c r="C18" s="13">
        <v>6.8</v>
      </c>
      <c r="D18" s="13">
        <v>4.68</v>
      </c>
      <c r="E18" s="13">
        <v>5.76</v>
      </c>
      <c r="F18" s="13">
        <v>1360</v>
      </c>
      <c r="G18" s="46">
        <f>1170/60</f>
        <v>19.5</v>
      </c>
      <c r="H18" s="13">
        <v>0.83</v>
      </c>
      <c r="I18" s="48">
        <v>198</v>
      </c>
      <c r="J18" s="18">
        <v>0.29499999999999998</v>
      </c>
      <c r="K18" s="18">
        <v>0.19333333333333333</v>
      </c>
      <c r="P18" s="5">
        <v>19.5</v>
      </c>
      <c r="Q18" s="2"/>
      <c r="R18" s="2"/>
      <c r="S18" s="5">
        <f t="shared" si="2"/>
        <v>13.833333333333332</v>
      </c>
    </row>
    <row r="19" spans="2:19" x14ac:dyDescent="0.25">
      <c r="B19" s="13">
        <v>1000</v>
      </c>
      <c r="C19" s="13">
        <v>7.8</v>
      </c>
      <c r="D19" s="13">
        <v>5.37</v>
      </c>
      <c r="E19" s="13">
        <v>6.48</v>
      </c>
      <c r="F19" s="13">
        <v>1700</v>
      </c>
      <c r="G19" s="46">
        <f>1342/60</f>
        <v>22.366666666666667</v>
      </c>
      <c r="H19" s="13">
        <v>0.93</v>
      </c>
      <c r="I19" s="48">
        <v>200</v>
      </c>
      <c r="J19" s="18">
        <v>0.31666666666666665</v>
      </c>
      <c r="K19" s="18">
        <v>0.2</v>
      </c>
      <c r="P19" s="5">
        <v>22.366666666666667</v>
      </c>
      <c r="Q19" s="2"/>
      <c r="R19" s="2"/>
      <c r="S19" s="5">
        <f t="shared" si="2"/>
        <v>15.500000000000002</v>
      </c>
    </row>
    <row r="20" spans="2:19" x14ac:dyDescent="0.25">
      <c r="B20" s="13">
        <v>1200</v>
      </c>
      <c r="C20" s="13">
        <v>10.199999999999999</v>
      </c>
      <c r="D20" s="13">
        <v>7.02</v>
      </c>
      <c r="E20" s="13">
        <v>8.1</v>
      </c>
      <c r="F20" s="13">
        <v>1860</v>
      </c>
      <c r="G20" s="46">
        <f>1754/60</f>
        <v>29.233333333333334</v>
      </c>
      <c r="H20" s="13">
        <v>1.1599999999999999</v>
      </c>
      <c r="I20" s="48">
        <v>200</v>
      </c>
      <c r="J20" s="18">
        <v>0.43333333333333335</v>
      </c>
      <c r="K20" s="18">
        <v>0.26666666666666666</v>
      </c>
      <c r="P20" s="5">
        <v>29.233333333333334</v>
      </c>
      <c r="Q20" s="2"/>
      <c r="R20" s="2"/>
      <c r="S20" s="5">
        <f t="shared" si="2"/>
        <v>19.333333333333332</v>
      </c>
    </row>
    <row r="21" spans="2:19" x14ac:dyDescent="0.25">
      <c r="B21" s="13">
        <v>1400</v>
      </c>
      <c r="C21" s="13">
        <v>11.5</v>
      </c>
      <c r="D21" s="13">
        <v>7.92</v>
      </c>
      <c r="E21" s="13">
        <v>9.3000000000000007</v>
      </c>
      <c r="F21" s="13">
        <v>2380</v>
      </c>
      <c r="G21" s="46">
        <f>1978/60</f>
        <v>32.966666666666669</v>
      </c>
      <c r="H21" s="13">
        <v>1.33</v>
      </c>
      <c r="I21" s="48">
        <v>240</v>
      </c>
      <c r="J21" s="18">
        <v>0.5</v>
      </c>
      <c r="K21" s="18">
        <v>0.3</v>
      </c>
      <c r="P21" s="5">
        <v>32.966666666666669</v>
      </c>
      <c r="Q21" s="2"/>
      <c r="R21" s="2"/>
      <c r="S21" s="5">
        <f t="shared" si="2"/>
        <v>22.166666666666668</v>
      </c>
    </row>
    <row r="22" spans="2:19" x14ac:dyDescent="0.25">
      <c r="I22" s="49"/>
    </row>
    <row r="23" spans="2:19" x14ac:dyDescent="0.25">
      <c r="C23" t="s">
        <v>60</v>
      </c>
      <c r="F23">
        <f>+F17/2</f>
        <v>510</v>
      </c>
      <c r="J23" s="18"/>
    </row>
    <row r="34" spans="8:8" x14ac:dyDescent="0.25">
      <c r="H34">
        <f>35*3414/270</f>
        <v>442.55555555555554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showGridLines="0" tabSelected="1" topLeftCell="A10" workbookViewId="0">
      <selection activeCell="K18" sqref="K18"/>
    </sheetView>
  </sheetViews>
  <sheetFormatPr baseColWidth="10" defaultRowHeight="15" x14ac:dyDescent="0.25"/>
  <cols>
    <col min="1" max="1" width="25.7109375" bestFit="1" customWidth="1"/>
    <col min="2" max="2" width="14.28515625" customWidth="1"/>
    <col min="3" max="3" width="14.42578125" customWidth="1"/>
    <col min="4" max="4" width="16.7109375" bestFit="1" customWidth="1"/>
    <col min="5" max="5" width="16.140625" customWidth="1"/>
    <col min="6" max="8" width="14" customWidth="1"/>
    <col min="9" max="9" width="35.5703125" customWidth="1"/>
    <col min="10" max="10" width="21.42578125" bestFit="1" customWidth="1"/>
    <col min="11" max="11" width="14.7109375" bestFit="1" customWidth="1"/>
    <col min="13" max="13" width="7.7109375" customWidth="1"/>
    <col min="15" max="15" width="11.42578125" style="2"/>
  </cols>
  <sheetData>
    <row r="1" spans="1:15" x14ac:dyDescent="0.25">
      <c r="A1" s="26"/>
      <c r="B1" s="27"/>
      <c r="C1" s="27"/>
      <c r="D1" s="27"/>
      <c r="E1" s="27"/>
      <c r="F1" s="27"/>
      <c r="G1" s="27"/>
      <c r="H1" s="27"/>
      <c r="I1" s="28"/>
    </row>
    <row r="2" spans="1:15" x14ac:dyDescent="0.25">
      <c r="A2" s="99" t="s">
        <v>383</v>
      </c>
      <c r="B2" s="100"/>
      <c r="C2" s="100"/>
      <c r="D2" s="100"/>
      <c r="E2" s="100"/>
      <c r="F2" s="100"/>
      <c r="G2" s="100"/>
      <c r="H2" s="100"/>
      <c r="I2" s="101"/>
    </row>
    <row r="3" spans="1:15" ht="45" x14ac:dyDescent="0.25">
      <c r="A3" s="6" t="s">
        <v>23</v>
      </c>
      <c r="B3" s="7" t="s">
        <v>382</v>
      </c>
      <c r="C3" s="7" t="s">
        <v>24</v>
      </c>
      <c r="D3" s="7" t="s">
        <v>25</v>
      </c>
      <c r="E3" s="7" t="s">
        <v>26</v>
      </c>
      <c r="F3" s="7" t="s">
        <v>32</v>
      </c>
      <c r="G3" s="7" t="s">
        <v>27</v>
      </c>
      <c r="H3" s="7" t="s">
        <v>28</v>
      </c>
      <c r="I3" s="19" t="s">
        <v>29</v>
      </c>
      <c r="K3" s="89" t="s">
        <v>92</v>
      </c>
    </row>
    <row r="4" spans="1:15" x14ac:dyDescent="0.25">
      <c r="A4" s="13" t="s">
        <v>31</v>
      </c>
      <c r="B4" s="14">
        <f>K4*3.6</f>
        <v>1890</v>
      </c>
      <c r="C4" s="10">
        <v>65</v>
      </c>
      <c r="D4" s="10">
        <v>60</v>
      </c>
      <c r="E4" s="10" t="s">
        <v>388</v>
      </c>
      <c r="F4" s="10">
        <v>0.18</v>
      </c>
      <c r="G4" s="10" t="s">
        <v>527</v>
      </c>
      <c r="H4" s="10" t="s">
        <v>61</v>
      </c>
      <c r="I4" s="10" t="s">
        <v>137</v>
      </c>
      <c r="K4">
        <v>525</v>
      </c>
    </row>
    <row r="5" spans="1:15" x14ac:dyDescent="0.25">
      <c r="A5" s="13" t="s">
        <v>384</v>
      </c>
      <c r="B5" s="14">
        <f>K5*3.6+252</f>
        <v>2268</v>
      </c>
      <c r="C5" s="10">
        <v>72</v>
      </c>
      <c r="D5" s="10">
        <v>75</v>
      </c>
      <c r="E5" s="10" t="s">
        <v>388</v>
      </c>
      <c r="F5" s="10">
        <v>0.37</v>
      </c>
      <c r="G5" s="10" t="s">
        <v>528</v>
      </c>
      <c r="H5" s="10" t="s">
        <v>61</v>
      </c>
      <c r="I5" s="10" t="s">
        <v>137</v>
      </c>
      <c r="K5">
        <v>560</v>
      </c>
    </row>
    <row r="6" spans="1:15" x14ac:dyDescent="0.25">
      <c r="A6" s="13" t="s">
        <v>46</v>
      </c>
      <c r="B6" s="14">
        <f t="shared" ref="B6:B11" si="0">K6*3.6</f>
        <v>2646</v>
      </c>
      <c r="C6" s="10">
        <v>80</v>
      </c>
      <c r="D6" s="10">
        <v>75</v>
      </c>
      <c r="E6" s="10" t="s">
        <v>388</v>
      </c>
      <c r="F6" s="10">
        <v>0.37</v>
      </c>
      <c r="G6" s="10" t="s">
        <v>528</v>
      </c>
      <c r="H6" s="10" t="s">
        <v>61</v>
      </c>
      <c r="I6" s="10" t="s">
        <v>137</v>
      </c>
      <c r="K6">
        <v>735</v>
      </c>
    </row>
    <row r="7" spans="1:15" x14ac:dyDescent="0.25">
      <c r="A7" s="13" t="s">
        <v>47</v>
      </c>
      <c r="B7" s="14">
        <f t="shared" ref="B7" si="1">K7*3.6</f>
        <v>504</v>
      </c>
      <c r="C7" s="10">
        <v>80</v>
      </c>
      <c r="D7" s="10">
        <v>60</v>
      </c>
      <c r="E7" s="10" t="s">
        <v>388</v>
      </c>
      <c r="F7" s="10">
        <v>0.18</v>
      </c>
      <c r="G7" s="10" t="s">
        <v>531</v>
      </c>
      <c r="H7" s="10" t="s">
        <v>61</v>
      </c>
      <c r="I7" s="10" t="s">
        <v>137</v>
      </c>
      <c r="K7">
        <v>140</v>
      </c>
    </row>
    <row r="8" spans="1:15" x14ac:dyDescent="0.25">
      <c r="A8" s="13" t="s">
        <v>539</v>
      </c>
      <c r="B8" s="14">
        <v>8332</v>
      </c>
      <c r="C8" s="10">
        <v>110</v>
      </c>
      <c r="D8" s="10">
        <v>135</v>
      </c>
      <c r="E8" s="10" t="s">
        <v>388</v>
      </c>
      <c r="F8" s="10">
        <v>3</v>
      </c>
      <c r="G8" s="10" t="s">
        <v>530</v>
      </c>
      <c r="H8" s="10" t="s">
        <v>61</v>
      </c>
      <c r="I8" s="10" t="s">
        <v>137</v>
      </c>
    </row>
    <row r="9" spans="1:15" x14ac:dyDescent="0.25">
      <c r="A9" s="13" t="s">
        <v>540</v>
      </c>
      <c r="B9" s="14">
        <v>8332</v>
      </c>
      <c r="C9" s="10">
        <v>110</v>
      </c>
      <c r="D9" s="10">
        <v>135</v>
      </c>
      <c r="E9" s="10" t="s">
        <v>388</v>
      </c>
      <c r="F9" s="10">
        <v>3</v>
      </c>
      <c r="G9" s="10" t="s">
        <v>530</v>
      </c>
      <c r="H9" s="10" t="s">
        <v>61</v>
      </c>
      <c r="I9" s="10" t="s">
        <v>137</v>
      </c>
    </row>
    <row r="10" spans="1:15" x14ac:dyDescent="0.25">
      <c r="A10" s="13" t="s">
        <v>385</v>
      </c>
      <c r="B10" s="14">
        <f t="shared" si="0"/>
        <v>19141.2</v>
      </c>
      <c r="C10" s="10">
        <v>380</v>
      </c>
      <c r="D10" s="10">
        <v>400</v>
      </c>
      <c r="E10" s="10" t="s">
        <v>389</v>
      </c>
      <c r="F10" s="10">
        <v>5.5</v>
      </c>
      <c r="G10" s="10" t="s">
        <v>529</v>
      </c>
      <c r="H10" s="10" t="s">
        <v>61</v>
      </c>
      <c r="I10" s="10" t="s">
        <v>137</v>
      </c>
      <c r="K10">
        <v>5317</v>
      </c>
    </row>
    <row r="11" spans="1:15" x14ac:dyDescent="0.25">
      <c r="A11" s="13" t="s">
        <v>386</v>
      </c>
      <c r="B11" s="14">
        <f t="shared" si="0"/>
        <v>7495.2</v>
      </c>
      <c r="C11" s="10">
        <v>370</v>
      </c>
      <c r="D11" s="10">
        <v>135</v>
      </c>
      <c r="E11" s="10" t="s">
        <v>388</v>
      </c>
      <c r="F11" s="10">
        <v>3</v>
      </c>
      <c r="G11" s="10" t="s">
        <v>530</v>
      </c>
      <c r="H11" s="10" t="s">
        <v>61</v>
      </c>
      <c r="I11" s="10" t="s">
        <v>137</v>
      </c>
      <c r="K11">
        <v>2082</v>
      </c>
    </row>
    <row r="12" spans="1:15" ht="15.75" thickBot="1" x14ac:dyDescent="0.3">
      <c r="A12" s="26"/>
      <c r="B12" s="90"/>
      <c r="C12" s="27"/>
      <c r="D12" s="27"/>
      <c r="E12" s="27"/>
      <c r="F12" s="27"/>
      <c r="G12" s="27"/>
      <c r="H12" s="27"/>
      <c r="I12" s="27"/>
    </row>
    <row r="13" spans="1:15" ht="15.75" thickBot="1" x14ac:dyDescent="0.3">
      <c r="A13" s="129" t="s">
        <v>547</v>
      </c>
      <c r="B13" s="130"/>
      <c r="C13" s="131"/>
      <c r="D13" s="131"/>
      <c r="E13" s="131"/>
      <c r="F13" s="131"/>
      <c r="G13" s="131"/>
      <c r="H13" s="131"/>
      <c r="I13" s="132"/>
    </row>
    <row r="14" spans="1:15" ht="15.75" thickBot="1" x14ac:dyDescent="0.3">
      <c r="A14" s="124" t="s">
        <v>541</v>
      </c>
      <c r="B14" s="125">
        <f>SUM(B4:B7)</f>
        <v>7308</v>
      </c>
      <c r="C14" s="123">
        <f>B15-B14</f>
        <v>19328.400000000001</v>
      </c>
      <c r="D14" s="121">
        <f>C14/3</f>
        <v>6442.8</v>
      </c>
      <c r="E14" s="121">
        <f>D14/3.6</f>
        <v>1789.6666666666667</v>
      </c>
      <c r="F14" s="27"/>
      <c r="G14" s="27"/>
      <c r="H14" s="27"/>
      <c r="I14" s="133"/>
    </row>
    <row r="15" spans="1:15" ht="15.75" thickBot="1" x14ac:dyDescent="0.3">
      <c r="A15" s="134"/>
      <c r="B15" s="119">
        <f>SUM(B10:B11)</f>
        <v>26636.400000000001</v>
      </c>
      <c r="C15" s="119">
        <f>B15*0.9</f>
        <v>23972.760000000002</v>
      </c>
      <c r="D15" s="122">
        <f>C15-B14</f>
        <v>16664.760000000002</v>
      </c>
      <c r="E15" s="126">
        <f>D15/3</f>
        <v>5554.920000000001</v>
      </c>
      <c r="F15" s="127">
        <f>E15/3.6</f>
        <v>1543.0333333333335</v>
      </c>
      <c r="G15" s="128">
        <v>12</v>
      </c>
      <c r="H15" s="128">
        <f>E15/G15</f>
        <v>462.91000000000008</v>
      </c>
      <c r="I15" s="135">
        <f>H15/3.6</f>
        <v>128.58611111111114</v>
      </c>
      <c r="J15" s="27"/>
    </row>
    <row r="16" spans="1:15" s="58" customFormat="1" ht="29.25" customHeight="1" thickBot="1" x14ac:dyDescent="0.3">
      <c r="A16" s="136"/>
      <c r="B16" s="117" t="s">
        <v>542</v>
      </c>
      <c r="C16" s="117" t="s">
        <v>546</v>
      </c>
      <c r="D16" s="137" t="s">
        <v>549</v>
      </c>
      <c r="E16" s="120" t="s">
        <v>543</v>
      </c>
      <c r="F16" s="117" t="s">
        <v>390</v>
      </c>
      <c r="G16" s="120" t="s">
        <v>544</v>
      </c>
      <c r="H16" s="117" t="s">
        <v>545</v>
      </c>
      <c r="I16" s="117" t="s">
        <v>390</v>
      </c>
      <c r="O16" s="118"/>
    </row>
    <row r="17" spans="1:17" x14ac:dyDescent="0.25">
      <c r="B17" s="2"/>
      <c r="C17" s="2"/>
    </row>
    <row r="18" spans="1:17" x14ac:dyDescent="0.25">
      <c r="A18" s="109" t="s">
        <v>66</v>
      </c>
      <c r="B18" s="109"/>
      <c r="C18" s="109"/>
      <c r="D18" s="109"/>
      <c r="E18" s="109"/>
      <c r="F18" s="109"/>
      <c r="G18" s="109"/>
      <c r="H18" s="109"/>
      <c r="I18" s="109"/>
      <c r="J18" s="109"/>
      <c r="L18">
        <v>30</v>
      </c>
      <c r="M18">
        <v>20</v>
      </c>
      <c r="N18">
        <f>L18*M18</f>
        <v>600</v>
      </c>
    </row>
    <row r="19" spans="1:17" x14ac:dyDescent="0.25">
      <c r="A19" s="104" t="s">
        <v>1</v>
      </c>
      <c r="B19" s="111" t="s">
        <v>33</v>
      </c>
      <c r="C19" s="112"/>
      <c r="D19" s="113"/>
      <c r="E19" s="107" t="s">
        <v>34</v>
      </c>
      <c r="F19" s="105" t="s">
        <v>64</v>
      </c>
      <c r="G19" s="114" t="s">
        <v>35</v>
      </c>
      <c r="H19" s="114" t="s">
        <v>36</v>
      </c>
      <c r="I19" s="107" t="s">
        <v>37</v>
      </c>
      <c r="J19" s="110" t="s">
        <v>65</v>
      </c>
      <c r="N19">
        <f>N18/15</f>
        <v>40</v>
      </c>
    </row>
    <row r="20" spans="1:17" x14ac:dyDescent="0.25">
      <c r="A20" s="104"/>
      <c r="B20" s="24" t="s">
        <v>38</v>
      </c>
      <c r="C20" s="24" t="s">
        <v>39</v>
      </c>
      <c r="D20" s="24" t="s">
        <v>11</v>
      </c>
      <c r="E20" s="108"/>
      <c r="F20" s="106"/>
      <c r="G20" s="115"/>
      <c r="H20" s="115"/>
      <c r="I20" s="108"/>
      <c r="J20" s="104"/>
    </row>
    <row r="21" spans="1:17" x14ac:dyDescent="0.25">
      <c r="A21" s="23" t="s">
        <v>40</v>
      </c>
      <c r="B21" s="23" t="s">
        <v>87</v>
      </c>
      <c r="C21" s="23" t="s">
        <v>41</v>
      </c>
      <c r="D21" s="23" t="s">
        <v>63</v>
      </c>
      <c r="E21" s="25">
        <v>200</v>
      </c>
      <c r="F21" s="25">
        <v>85</v>
      </c>
      <c r="G21" s="38">
        <v>18</v>
      </c>
      <c r="H21" s="10">
        <v>6</v>
      </c>
      <c r="I21" s="25" t="s">
        <v>42</v>
      </c>
      <c r="J21" s="10">
        <v>3000</v>
      </c>
    </row>
    <row r="22" spans="1:17" x14ac:dyDescent="0.25">
      <c r="A22" s="23" t="s">
        <v>43</v>
      </c>
      <c r="B22" s="23" t="s">
        <v>87</v>
      </c>
      <c r="C22" s="23" t="s">
        <v>41</v>
      </c>
      <c r="D22" s="23" t="s">
        <v>63</v>
      </c>
      <c r="E22" s="25">
        <v>200</v>
      </c>
      <c r="F22" s="25">
        <v>85</v>
      </c>
      <c r="G22" s="38">
        <v>18</v>
      </c>
      <c r="H22" s="10">
        <v>6</v>
      </c>
      <c r="I22" s="25" t="s">
        <v>42</v>
      </c>
      <c r="J22" s="10">
        <v>3000</v>
      </c>
    </row>
    <row r="23" spans="1:17" x14ac:dyDescent="0.25">
      <c r="A23" s="23" t="s">
        <v>124</v>
      </c>
      <c r="B23" s="23" t="s">
        <v>44</v>
      </c>
      <c r="C23" s="23" t="s">
        <v>41</v>
      </c>
      <c r="D23" s="23" t="s">
        <v>45</v>
      </c>
      <c r="E23" s="10" t="s">
        <v>30</v>
      </c>
      <c r="F23" s="10">
        <v>7</v>
      </c>
      <c r="G23" s="14">
        <f>+G22</f>
        <v>18</v>
      </c>
      <c r="H23" s="10">
        <v>10</v>
      </c>
      <c r="I23" s="25" t="s">
        <v>42</v>
      </c>
      <c r="J23" s="10">
        <v>150</v>
      </c>
    </row>
    <row r="24" spans="1:17" x14ac:dyDescent="0.25">
      <c r="A24" s="23" t="s">
        <v>125</v>
      </c>
      <c r="B24" s="23" t="s">
        <v>44</v>
      </c>
      <c r="C24" s="23" t="s">
        <v>41</v>
      </c>
      <c r="D24" s="23" t="s">
        <v>45</v>
      </c>
      <c r="E24" s="10" t="s">
        <v>30</v>
      </c>
      <c r="F24" s="10">
        <v>7</v>
      </c>
      <c r="G24" s="14">
        <f>+G23</f>
        <v>18</v>
      </c>
      <c r="H24" s="10">
        <v>10</v>
      </c>
      <c r="I24" s="25" t="s">
        <v>42</v>
      </c>
      <c r="J24" s="10">
        <v>150</v>
      </c>
      <c r="L24" s="91">
        <f>D15/2</f>
        <v>8332.380000000001</v>
      </c>
      <c r="N24">
        <f>L24/60</f>
        <v>138.87300000000002</v>
      </c>
      <c r="O24" s="2" t="s">
        <v>533</v>
      </c>
      <c r="P24" t="s">
        <v>538</v>
      </c>
      <c r="Q24" t="s">
        <v>533</v>
      </c>
    </row>
    <row r="25" spans="1:17" x14ac:dyDescent="0.25">
      <c r="A25" s="23" t="s">
        <v>126</v>
      </c>
      <c r="B25" s="23" t="s">
        <v>44</v>
      </c>
      <c r="C25" s="23" t="s">
        <v>41</v>
      </c>
      <c r="D25" s="23" t="s">
        <v>45</v>
      </c>
      <c r="E25" s="10" t="s">
        <v>30</v>
      </c>
      <c r="F25" s="10">
        <v>7</v>
      </c>
      <c r="G25" s="14">
        <f>+G24</f>
        <v>18</v>
      </c>
      <c r="H25" s="10">
        <v>10</v>
      </c>
      <c r="I25" s="25" t="s">
        <v>42</v>
      </c>
      <c r="J25" s="10">
        <v>150</v>
      </c>
      <c r="L25" s="91">
        <f>L24/3*2</f>
        <v>5554.920000000001</v>
      </c>
      <c r="N25">
        <f>L25/60</f>
        <v>92.582000000000022</v>
      </c>
      <c r="O25" s="2" t="s">
        <v>533</v>
      </c>
    </row>
    <row r="26" spans="1:17" x14ac:dyDescent="0.25">
      <c r="A26" s="23" t="s">
        <v>127</v>
      </c>
      <c r="B26" s="23" t="s">
        <v>44</v>
      </c>
      <c r="C26" s="23" t="s">
        <v>41</v>
      </c>
      <c r="D26" s="23" t="s">
        <v>45</v>
      </c>
      <c r="E26" s="10" t="s">
        <v>30</v>
      </c>
      <c r="F26" s="10">
        <v>8</v>
      </c>
      <c r="G26" s="14">
        <f t="shared" ref="G26:G28" si="2">+G25</f>
        <v>18</v>
      </c>
      <c r="H26" s="10">
        <v>10</v>
      </c>
      <c r="I26" s="25" t="s">
        <v>42</v>
      </c>
      <c r="J26" s="10">
        <v>150</v>
      </c>
      <c r="K26" s="92">
        <v>6</v>
      </c>
      <c r="L26" s="91">
        <f>L24/3</f>
        <v>2777.4600000000005</v>
      </c>
      <c r="M26" s="91">
        <f>L26/K26</f>
        <v>462.91000000000008</v>
      </c>
      <c r="N26" s="18">
        <f>M26/60</f>
        <v>7.7151666666666676</v>
      </c>
      <c r="O26" s="2" t="s">
        <v>536</v>
      </c>
    </row>
    <row r="27" spans="1:17" x14ac:dyDescent="0.25">
      <c r="A27" s="23" t="s">
        <v>128</v>
      </c>
      <c r="B27" s="23" t="s">
        <v>44</v>
      </c>
      <c r="C27" s="23" t="s">
        <v>41</v>
      </c>
      <c r="D27" s="23" t="s">
        <v>45</v>
      </c>
      <c r="E27" s="10" t="s">
        <v>30</v>
      </c>
      <c r="F27" s="10">
        <v>9</v>
      </c>
      <c r="G27" s="14">
        <f t="shared" si="2"/>
        <v>18</v>
      </c>
      <c r="H27" s="10">
        <v>10</v>
      </c>
      <c r="I27" s="25" t="s">
        <v>42</v>
      </c>
      <c r="J27" s="10">
        <v>150</v>
      </c>
      <c r="L27" s="91"/>
      <c r="M27" s="91">
        <f>M26*2</f>
        <v>925.82000000000016</v>
      </c>
      <c r="N27" s="18">
        <f t="shared" ref="N27:N31" si="3">M27/60</f>
        <v>15.430333333333335</v>
      </c>
      <c r="O27" s="2" t="s">
        <v>537</v>
      </c>
    </row>
    <row r="28" spans="1:17" x14ac:dyDescent="0.25">
      <c r="A28" s="23" t="s">
        <v>129</v>
      </c>
      <c r="B28" s="23" t="s">
        <v>44</v>
      </c>
      <c r="C28" s="23" t="s">
        <v>41</v>
      </c>
      <c r="D28" s="23" t="s">
        <v>45</v>
      </c>
      <c r="E28" s="10" t="s">
        <v>30</v>
      </c>
      <c r="F28" s="10">
        <v>10</v>
      </c>
      <c r="G28" s="14">
        <f t="shared" si="2"/>
        <v>18</v>
      </c>
      <c r="H28" s="10">
        <v>10</v>
      </c>
      <c r="I28" s="25" t="s">
        <v>42</v>
      </c>
      <c r="J28" s="10">
        <v>150</v>
      </c>
      <c r="M28" s="91">
        <f>$M$26+M27</f>
        <v>1388.7300000000002</v>
      </c>
      <c r="N28" s="18">
        <f t="shared" si="3"/>
        <v>23.145500000000006</v>
      </c>
      <c r="O28" s="2" t="s">
        <v>537</v>
      </c>
    </row>
    <row r="29" spans="1:17" x14ac:dyDescent="0.25">
      <c r="A29" s="23" t="s">
        <v>130</v>
      </c>
      <c r="B29" s="23" t="s">
        <v>44</v>
      </c>
      <c r="C29" s="23" t="s">
        <v>41</v>
      </c>
      <c r="D29" s="23" t="s">
        <v>45</v>
      </c>
      <c r="E29" s="10" t="s">
        <v>30</v>
      </c>
      <c r="F29" s="10">
        <v>11</v>
      </c>
      <c r="G29" s="14">
        <v>59</v>
      </c>
      <c r="H29" s="10">
        <v>21</v>
      </c>
      <c r="I29" s="25" t="s">
        <v>42</v>
      </c>
      <c r="J29" s="10">
        <v>150</v>
      </c>
      <c r="M29" s="91">
        <f>$M$26+M28</f>
        <v>1851.6400000000003</v>
      </c>
      <c r="N29" s="18">
        <f t="shared" si="3"/>
        <v>30.86066666666667</v>
      </c>
      <c r="O29" s="2" t="s">
        <v>534</v>
      </c>
    </row>
    <row r="30" spans="1:17" x14ac:dyDescent="0.25">
      <c r="A30" s="23" t="s">
        <v>131</v>
      </c>
      <c r="B30" s="23" t="s">
        <v>44</v>
      </c>
      <c r="C30" s="23" t="s">
        <v>41</v>
      </c>
      <c r="D30" s="23" t="s">
        <v>45</v>
      </c>
      <c r="E30" s="10" t="s">
        <v>30</v>
      </c>
      <c r="F30" s="10">
        <v>11</v>
      </c>
      <c r="G30" s="14">
        <f t="shared" ref="G30:G32" si="4">+G29</f>
        <v>59</v>
      </c>
      <c r="H30" s="10">
        <v>21</v>
      </c>
      <c r="I30" s="25" t="s">
        <v>42</v>
      </c>
      <c r="J30" s="10">
        <v>150</v>
      </c>
      <c r="M30" s="91">
        <f>$M$26+M29</f>
        <v>2314.5500000000002</v>
      </c>
      <c r="N30" s="18">
        <f t="shared" si="3"/>
        <v>38.575833333333335</v>
      </c>
      <c r="O30" s="2" t="s">
        <v>534</v>
      </c>
    </row>
    <row r="31" spans="1:17" x14ac:dyDescent="0.25">
      <c r="A31" s="23" t="s">
        <v>132</v>
      </c>
      <c r="B31" s="23" t="s">
        <v>44</v>
      </c>
      <c r="C31" s="23" t="s">
        <v>41</v>
      </c>
      <c r="D31" s="23" t="s">
        <v>45</v>
      </c>
      <c r="E31" s="10" t="s">
        <v>30</v>
      </c>
      <c r="F31" s="10">
        <v>11</v>
      </c>
      <c r="G31" s="14">
        <v>85</v>
      </c>
      <c r="H31" s="10">
        <v>21</v>
      </c>
      <c r="I31" s="25" t="s">
        <v>42</v>
      </c>
      <c r="J31" s="10">
        <v>150</v>
      </c>
      <c r="M31" s="91">
        <f>$M$26+M30</f>
        <v>2777.46</v>
      </c>
      <c r="N31" s="18">
        <f t="shared" si="3"/>
        <v>46.291000000000004</v>
      </c>
      <c r="O31" s="2" t="s">
        <v>535</v>
      </c>
    </row>
    <row r="32" spans="1:17" x14ac:dyDescent="0.25">
      <c r="A32" s="23" t="s">
        <v>133</v>
      </c>
      <c r="B32" s="23" t="s">
        <v>44</v>
      </c>
      <c r="C32" s="23" t="s">
        <v>41</v>
      </c>
      <c r="D32" s="23" t="s">
        <v>45</v>
      </c>
      <c r="E32" s="10" t="s">
        <v>30</v>
      </c>
      <c r="F32" s="10">
        <v>11</v>
      </c>
      <c r="G32" s="14">
        <f t="shared" si="4"/>
        <v>85</v>
      </c>
      <c r="H32" s="10">
        <v>21</v>
      </c>
      <c r="I32" s="25" t="s">
        <v>42</v>
      </c>
      <c r="J32" s="10">
        <v>150</v>
      </c>
      <c r="M32" s="91"/>
    </row>
    <row r="33" spans="1:13" x14ac:dyDescent="0.25">
      <c r="A33" s="55"/>
      <c r="B33" s="39"/>
      <c r="C33" s="39"/>
      <c r="D33" s="39"/>
      <c r="E33" s="40"/>
      <c r="F33" s="40"/>
      <c r="G33" s="56"/>
      <c r="H33" s="40"/>
      <c r="I33" s="42"/>
      <c r="J33" s="57"/>
      <c r="M33" s="91"/>
    </row>
    <row r="34" spans="1:13" x14ac:dyDescent="0.25">
      <c r="A34" s="45" t="s">
        <v>136</v>
      </c>
      <c r="B34" s="39"/>
      <c r="C34" s="39"/>
      <c r="D34" s="39"/>
      <c r="E34" s="40"/>
      <c r="F34" s="40"/>
      <c r="G34" s="40"/>
      <c r="H34" s="41"/>
      <c r="I34" s="42"/>
      <c r="J34" s="43"/>
      <c r="M34" s="91"/>
    </row>
    <row r="39" spans="1:13" x14ac:dyDescent="0.25">
      <c r="F39" t="s">
        <v>390</v>
      </c>
      <c r="G39" t="s">
        <v>391</v>
      </c>
      <c r="H39" t="s">
        <v>392</v>
      </c>
      <c r="I39" t="s">
        <v>88</v>
      </c>
    </row>
    <row r="40" spans="1:13" x14ac:dyDescent="0.25">
      <c r="F40">
        <v>4165</v>
      </c>
      <c r="G40">
        <f>F40*0.06</f>
        <v>249.89999999999998</v>
      </c>
      <c r="H40">
        <f>G40/8</f>
        <v>31.237499999999997</v>
      </c>
      <c r="I40">
        <f>H40*60</f>
        <v>1874.2499999999998</v>
      </c>
    </row>
    <row r="45" spans="1:13" x14ac:dyDescent="0.25">
      <c r="A45" s="99" t="s">
        <v>383</v>
      </c>
      <c r="B45" s="100"/>
      <c r="C45" s="100"/>
      <c r="D45" s="100"/>
      <c r="E45" s="100"/>
      <c r="F45" s="100"/>
      <c r="G45" s="100"/>
      <c r="H45" s="100"/>
      <c r="I45" s="101"/>
    </row>
    <row r="46" spans="1:13" ht="45" x14ac:dyDescent="0.25">
      <c r="A46" s="6" t="s">
        <v>23</v>
      </c>
      <c r="B46" s="7" t="s">
        <v>382</v>
      </c>
      <c r="C46" s="7" t="s">
        <v>24</v>
      </c>
      <c r="D46" s="7" t="s">
        <v>25</v>
      </c>
      <c r="E46" s="7" t="s">
        <v>26</v>
      </c>
      <c r="F46" s="7" t="s">
        <v>32</v>
      </c>
      <c r="G46" s="7" t="s">
        <v>27</v>
      </c>
      <c r="H46" s="7" t="s">
        <v>28</v>
      </c>
      <c r="I46" s="19" t="s">
        <v>29</v>
      </c>
    </row>
    <row r="47" spans="1:13" x14ac:dyDescent="0.25">
      <c r="A47" s="13" t="s">
        <v>532</v>
      </c>
      <c r="B47" s="14">
        <f>K47*3.6</f>
        <v>2772</v>
      </c>
      <c r="C47" s="10">
        <v>72</v>
      </c>
      <c r="D47" s="10">
        <v>75</v>
      </c>
      <c r="E47" s="10" t="s">
        <v>388</v>
      </c>
      <c r="F47" s="10">
        <v>0.37</v>
      </c>
      <c r="G47" s="10" t="s">
        <v>528</v>
      </c>
      <c r="H47" s="10" t="s">
        <v>61</v>
      </c>
      <c r="I47" s="10" t="s">
        <v>137</v>
      </c>
      <c r="K47">
        <f>22*35</f>
        <v>770</v>
      </c>
    </row>
  </sheetData>
  <mergeCells count="11">
    <mergeCell ref="A45:I45"/>
    <mergeCell ref="A2:I2"/>
    <mergeCell ref="A19:A20"/>
    <mergeCell ref="F19:F20"/>
    <mergeCell ref="I19:I20"/>
    <mergeCell ref="A18:J18"/>
    <mergeCell ref="J19:J20"/>
    <mergeCell ref="B19:D19"/>
    <mergeCell ref="E19:E20"/>
    <mergeCell ref="G19:G20"/>
    <mergeCell ref="H19:H20"/>
  </mergeCells>
  <phoneticPr fontId="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topLeftCell="A25" workbookViewId="0">
      <selection activeCell="D53" sqref="D53"/>
    </sheetView>
  </sheetViews>
  <sheetFormatPr baseColWidth="10" defaultRowHeight="15" x14ac:dyDescent="0.25"/>
  <sheetData>
    <row r="1" spans="2:14" x14ac:dyDescent="0.25">
      <c r="B1" t="s">
        <v>67</v>
      </c>
    </row>
    <row r="2" spans="2:14" x14ac:dyDescent="0.25">
      <c r="B2" t="s">
        <v>548</v>
      </c>
    </row>
    <row r="3" spans="2:14" x14ac:dyDescent="0.25">
      <c r="D3" t="s">
        <v>68</v>
      </c>
      <c r="E3" s="2" t="s">
        <v>69</v>
      </c>
      <c r="F3" t="s">
        <v>70</v>
      </c>
      <c r="G3" s="2" t="s">
        <v>71</v>
      </c>
    </row>
    <row r="4" spans="2:14" x14ac:dyDescent="0.25">
      <c r="B4">
        <v>0.3</v>
      </c>
      <c r="C4">
        <v>25</v>
      </c>
      <c r="D4">
        <v>10.1</v>
      </c>
      <c r="E4" s="2">
        <f>+D4/100</f>
        <v>0.10099999999999999</v>
      </c>
      <c r="F4">
        <v>13</v>
      </c>
      <c r="G4">
        <f>+F4*E4</f>
        <v>1.3129999999999999</v>
      </c>
    </row>
    <row r="5" spans="2:14" x14ac:dyDescent="0.25">
      <c r="B5">
        <v>2.8</v>
      </c>
      <c r="C5">
        <v>50</v>
      </c>
      <c r="D5">
        <v>8.43</v>
      </c>
      <c r="E5" s="2">
        <f t="shared" ref="E5:E14" si="0">+D5/100</f>
        <v>8.43E-2</v>
      </c>
      <c r="F5">
        <v>3</v>
      </c>
      <c r="G5">
        <f t="shared" ref="G5:G14" si="1">+F5*E5</f>
        <v>0.25290000000000001</v>
      </c>
    </row>
    <row r="6" spans="2:14" x14ac:dyDescent="0.25">
      <c r="B6">
        <v>4</v>
      </c>
      <c r="C6">
        <v>63</v>
      </c>
      <c r="D6">
        <v>5.25</v>
      </c>
      <c r="E6" s="2">
        <f t="shared" si="0"/>
        <v>5.2499999999999998E-2</v>
      </c>
      <c r="F6">
        <v>3</v>
      </c>
      <c r="G6">
        <f t="shared" si="1"/>
        <v>0.1575</v>
      </c>
    </row>
    <row r="7" spans="2:14" x14ac:dyDescent="0.25">
      <c r="B7">
        <v>6.3</v>
      </c>
      <c r="C7">
        <v>63</v>
      </c>
      <c r="D7">
        <v>11</v>
      </c>
      <c r="E7" s="2">
        <f t="shared" si="0"/>
        <v>0.11</v>
      </c>
      <c r="F7">
        <v>3</v>
      </c>
      <c r="G7">
        <f t="shared" si="1"/>
        <v>0.33</v>
      </c>
    </row>
    <row r="8" spans="2:14" x14ac:dyDescent="0.25">
      <c r="B8">
        <v>10.8</v>
      </c>
      <c r="C8">
        <v>75</v>
      </c>
      <c r="D8">
        <v>9.6</v>
      </c>
      <c r="E8" s="2">
        <f t="shared" si="0"/>
        <v>9.6000000000000002E-2</v>
      </c>
      <c r="F8">
        <v>3</v>
      </c>
      <c r="G8">
        <f t="shared" si="1"/>
        <v>0.28800000000000003</v>
      </c>
    </row>
    <row r="9" spans="2:14" x14ac:dyDescent="0.25">
      <c r="B9">
        <v>15</v>
      </c>
      <c r="C9">
        <v>110</v>
      </c>
      <c r="D9">
        <v>3.1</v>
      </c>
      <c r="E9" s="2">
        <f t="shared" si="0"/>
        <v>3.1E-2</v>
      </c>
      <c r="F9">
        <v>3</v>
      </c>
      <c r="G9">
        <f t="shared" si="1"/>
        <v>9.2999999999999999E-2</v>
      </c>
    </row>
    <row r="10" spans="2:14" x14ac:dyDescent="0.25">
      <c r="B10">
        <v>18</v>
      </c>
      <c r="C10">
        <v>110</v>
      </c>
      <c r="D10">
        <v>4.4800000000000004</v>
      </c>
      <c r="E10" s="2">
        <f t="shared" si="0"/>
        <v>4.4800000000000006E-2</v>
      </c>
      <c r="F10">
        <v>3</v>
      </c>
      <c r="G10">
        <f t="shared" si="1"/>
        <v>0.13440000000000002</v>
      </c>
    </row>
    <row r="11" spans="2:14" x14ac:dyDescent="0.25">
      <c r="B11">
        <v>22</v>
      </c>
      <c r="C11">
        <v>125</v>
      </c>
      <c r="D11">
        <v>3.53</v>
      </c>
      <c r="E11" s="2">
        <f t="shared" si="0"/>
        <v>3.5299999999999998E-2</v>
      </c>
      <c r="F11">
        <v>3</v>
      </c>
      <c r="G11">
        <f t="shared" si="1"/>
        <v>0.10589999999999999</v>
      </c>
    </row>
    <row r="12" spans="2:14" x14ac:dyDescent="0.25">
      <c r="B12">
        <v>26</v>
      </c>
      <c r="C12">
        <v>125</v>
      </c>
      <c r="D12">
        <v>4.8</v>
      </c>
      <c r="E12" s="2">
        <f t="shared" si="0"/>
        <v>4.8000000000000001E-2</v>
      </c>
      <c r="F12">
        <v>3</v>
      </c>
      <c r="G12">
        <f t="shared" si="1"/>
        <v>0.14400000000000002</v>
      </c>
      <c r="M12">
        <v>3</v>
      </c>
      <c r="N12">
        <f>M12*16.6667</f>
        <v>50.000099999999996</v>
      </c>
    </row>
    <row r="13" spans="2:14" x14ac:dyDescent="0.25">
      <c r="B13">
        <v>30</v>
      </c>
      <c r="C13">
        <v>160</v>
      </c>
      <c r="D13">
        <v>2</v>
      </c>
      <c r="E13" s="2">
        <f t="shared" si="0"/>
        <v>0.02</v>
      </c>
      <c r="F13">
        <v>3</v>
      </c>
      <c r="G13">
        <f t="shared" si="1"/>
        <v>0.06</v>
      </c>
    </row>
    <row r="14" spans="2:14" x14ac:dyDescent="0.25">
      <c r="B14">
        <v>33</v>
      </c>
      <c r="C14">
        <v>160</v>
      </c>
      <c r="D14">
        <v>2.2999999999999998</v>
      </c>
      <c r="E14" s="2">
        <f t="shared" si="0"/>
        <v>2.3E-2</v>
      </c>
      <c r="F14">
        <v>15</v>
      </c>
      <c r="G14">
        <f t="shared" si="1"/>
        <v>0.34499999999999997</v>
      </c>
      <c r="N14">
        <v>35</v>
      </c>
    </row>
    <row r="15" spans="2:14" x14ac:dyDescent="0.25">
      <c r="B15">
        <f>+B14*3.6</f>
        <v>118.8</v>
      </c>
      <c r="E15" s="2"/>
      <c r="F15" t="s">
        <v>71</v>
      </c>
      <c r="G15">
        <f>+SUM(G4:G14)</f>
        <v>3.2237</v>
      </c>
      <c r="N15">
        <v>15</v>
      </c>
    </row>
    <row r="16" spans="2:14" x14ac:dyDescent="0.25">
      <c r="B16">
        <f>+B15/2</f>
        <v>59.4</v>
      </c>
      <c r="E16" s="2"/>
      <c r="F16" t="s">
        <v>72</v>
      </c>
      <c r="G16">
        <f>+G15*1</f>
        <v>3.2237</v>
      </c>
    </row>
    <row r="17" spans="1:35" x14ac:dyDescent="0.25">
      <c r="E17" s="2"/>
      <c r="F17" t="s">
        <v>73</v>
      </c>
      <c r="G17">
        <v>6</v>
      </c>
    </row>
    <row r="18" spans="1:35" x14ac:dyDescent="0.25">
      <c r="E18" s="2"/>
      <c r="F18" t="s">
        <v>74</v>
      </c>
      <c r="G18">
        <v>2</v>
      </c>
    </row>
    <row r="19" spans="1:35" x14ac:dyDescent="0.25">
      <c r="E19" s="2"/>
      <c r="F19" t="s">
        <v>75</v>
      </c>
      <c r="G19">
        <f>+SUM(G15:G18)</f>
        <v>14.4474</v>
      </c>
    </row>
    <row r="20" spans="1:35" x14ac:dyDescent="0.25">
      <c r="E20" s="2"/>
      <c r="F20" t="s">
        <v>76</v>
      </c>
      <c r="G20">
        <f>+G19*0.2</f>
        <v>2.8894800000000003</v>
      </c>
    </row>
    <row r="21" spans="1:35" x14ac:dyDescent="0.25">
      <c r="E21" s="2"/>
      <c r="F21" s="44" t="s">
        <v>77</v>
      </c>
      <c r="G21" s="44">
        <f>+G20+G19</f>
        <v>17.336880000000001</v>
      </c>
    </row>
    <row r="22" spans="1:35" x14ac:dyDescent="0.25">
      <c r="E22" s="2"/>
    </row>
    <row r="23" spans="1:35" x14ac:dyDescent="0.25">
      <c r="E23" s="2"/>
    </row>
    <row r="25" spans="1:35" x14ac:dyDescent="0.25">
      <c r="B25" t="s">
        <v>90</v>
      </c>
      <c r="G25" t="s">
        <v>91</v>
      </c>
      <c r="K25" t="s">
        <v>31</v>
      </c>
    </row>
    <row r="26" spans="1:35" x14ac:dyDescent="0.25">
      <c r="B26" s="2" t="s">
        <v>88</v>
      </c>
      <c r="C26" s="2" t="s">
        <v>89</v>
      </c>
      <c r="D26" s="2" t="s">
        <v>101</v>
      </c>
      <c r="E26" s="2" t="s">
        <v>102</v>
      </c>
      <c r="F26" s="2"/>
      <c r="G26" s="2" t="s">
        <v>88</v>
      </c>
      <c r="H26" s="2" t="s">
        <v>89</v>
      </c>
      <c r="I26" s="2" t="s">
        <v>101</v>
      </c>
      <c r="J26" s="2" t="s">
        <v>102</v>
      </c>
      <c r="K26" s="2" t="s">
        <v>92</v>
      </c>
      <c r="L26" s="2" t="s">
        <v>89</v>
      </c>
      <c r="M26" s="2" t="s">
        <v>89</v>
      </c>
      <c r="N26" s="2" t="s">
        <v>101</v>
      </c>
      <c r="O26" s="2" t="s">
        <v>102</v>
      </c>
      <c r="Q26" t="s">
        <v>94</v>
      </c>
      <c r="S26" t="s">
        <v>105</v>
      </c>
      <c r="U26" t="s">
        <v>105</v>
      </c>
      <c r="W26" t="s">
        <v>106</v>
      </c>
      <c r="Y26" t="s">
        <v>107</v>
      </c>
      <c r="AA26" t="s">
        <v>112</v>
      </c>
      <c r="AD26" t="s">
        <v>105</v>
      </c>
      <c r="AF26" t="s">
        <v>106</v>
      </c>
      <c r="AH26" t="s">
        <v>107</v>
      </c>
    </row>
    <row r="27" spans="1:35" x14ac:dyDescent="0.25">
      <c r="A27">
        <v>2610</v>
      </c>
      <c r="B27" s="2">
        <v>2610</v>
      </c>
      <c r="C27" s="2">
        <f>B27/60</f>
        <v>43.5</v>
      </c>
      <c r="D27" s="2">
        <v>1</v>
      </c>
      <c r="E27" s="2" t="s">
        <v>100</v>
      </c>
      <c r="F27" s="2">
        <v>0</v>
      </c>
      <c r="G27" s="2">
        <v>0</v>
      </c>
      <c r="H27" s="2">
        <f>G27/60</f>
        <v>0</v>
      </c>
      <c r="I27" s="2"/>
      <c r="J27" s="2"/>
      <c r="K27" s="2">
        <f>42*10</f>
        <v>420</v>
      </c>
      <c r="L27" s="2">
        <f>K27*0.06</f>
        <v>25.2</v>
      </c>
      <c r="M27" s="2">
        <f>L27</f>
        <v>25.2</v>
      </c>
      <c r="N27" s="2">
        <v>1</v>
      </c>
      <c r="O27" s="2" t="s">
        <v>113</v>
      </c>
      <c r="Q27" t="s">
        <v>93</v>
      </c>
      <c r="R27" t="s">
        <v>95</v>
      </c>
      <c r="S27" s="33">
        <v>7.28</v>
      </c>
      <c r="V27" t="s">
        <v>96</v>
      </c>
      <c r="W27">
        <v>4.2</v>
      </c>
      <c r="AA27">
        <f>S27*5</f>
        <v>36.4</v>
      </c>
      <c r="AB27">
        <f>AA27*0.06</f>
        <v>2.1839999999999997</v>
      </c>
      <c r="AD27">
        <f>U27*1.5</f>
        <v>0</v>
      </c>
      <c r="AE27">
        <f>AD27*0.06</f>
        <v>0</v>
      </c>
      <c r="AF27">
        <f>W27*1.5</f>
        <v>6.3000000000000007</v>
      </c>
      <c r="AG27">
        <f t="shared" ref="AG27:AI30" si="2">AF27*0.06</f>
        <v>0.378</v>
      </c>
      <c r="AH27">
        <f>Y27*1.5</f>
        <v>0</v>
      </c>
      <c r="AI27">
        <f t="shared" si="2"/>
        <v>0</v>
      </c>
    </row>
    <row r="28" spans="1:35" x14ac:dyDescent="0.25">
      <c r="A28">
        <v>2360</v>
      </c>
      <c r="B28" s="2">
        <f>B27+A28</f>
        <v>4970</v>
      </c>
      <c r="C28" s="2">
        <f t="shared" ref="C28:C30" si="3">B28/60</f>
        <v>82.833333333333329</v>
      </c>
      <c r="D28" s="2">
        <v>1</v>
      </c>
      <c r="E28" s="2" t="s">
        <v>103</v>
      </c>
      <c r="F28" s="2">
        <v>300</v>
      </c>
      <c r="G28" s="2">
        <f>G27+F28</f>
        <v>300</v>
      </c>
      <c r="H28" s="2">
        <f t="shared" ref="H28:H30" si="4">G28/60</f>
        <v>5</v>
      </c>
      <c r="I28" s="2">
        <v>1</v>
      </c>
      <c r="J28" s="2" t="s">
        <v>111</v>
      </c>
      <c r="K28" s="2">
        <f>42*14</f>
        <v>588</v>
      </c>
      <c r="L28" s="2">
        <f t="shared" ref="L28:L30" si="5">K28*0.06</f>
        <v>35.28</v>
      </c>
      <c r="M28" s="2">
        <f>M27+L28</f>
        <v>60.480000000000004</v>
      </c>
      <c r="N28" s="2">
        <v>1</v>
      </c>
      <c r="O28" s="2" t="s">
        <v>115</v>
      </c>
      <c r="Q28" t="s">
        <v>97</v>
      </c>
      <c r="R28" t="s">
        <v>95</v>
      </c>
      <c r="S28" s="33">
        <v>7.28</v>
      </c>
      <c r="T28" t="s">
        <v>108</v>
      </c>
      <c r="U28">
        <v>8.2799999999999994</v>
      </c>
      <c r="V28" t="s">
        <v>96</v>
      </c>
      <c r="W28">
        <v>4.2</v>
      </c>
      <c r="X28" t="s">
        <v>108</v>
      </c>
      <c r="Y28">
        <v>9.11</v>
      </c>
      <c r="AA28">
        <f t="shared" ref="AA28:AA30" si="6">S28*5</f>
        <v>36.4</v>
      </c>
      <c r="AB28">
        <f t="shared" ref="AB28:AB30" si="7">AA28*0.06</f>
        <v>2.1839999999999997</v>
      </c>
      <c r="AD28">
        <f t="shared" ref="AD28:AD30" si="8">U28*1.5</f>
        <v>12.419999999999998</v>
      </c>
      <c r="AE28">
        <f>AD28*0.06</f>
        <v>0.74519999999999986</v>
      </c>
      <c r="AF28">
        <f t="shared" ref="AF28:AF30" si="9">W28*1.5</f>
        <v>6.3000000000000007</v>
      </c>
      <c r="AG28">
        <f t="shared" si="2"/>
        <v>0.378</v>
      </c>
      <c r="AH28">
        <f t="shared" ref="AH28:AH30" si="10">Y28*1.5</f>
        <v>13.664999999999999</v>
      </c>
      <c r="AI28">
        <f>AH28*0.06</f>
        <v>0.81989999999999996</v>
      </c>
    </row>
    <row r="29" spans="1:35" x14ac:dyDescent="0.25">
      <c r="A29">
        <v>2250</v>
      </c>
      <c r="B29" s="2">
        <f t="shared" ref="B29" si="11">B28+A29</f>
        <v>7220</v>
      </c>
      <c r="C29" s="2">
        <f t="shared" si="3"/>
        <v>120.33333333333333</v>
      </c>
      <c r="D29" s="2">
        <v>1</v>
      </c>
      <c r="E29" s="2" t="s">
        <v>109</v>
      </c>
      <c r="F29" s="2">
        <v>1740</v>
      </c>
      <c r="G29" s="2">
        <f t="shared" ref="G29:G30" si="12">G28+F29</f>
        <v>2040</v>
      </c>
      <c r="H29" s="2">
        <f t="shared" si="4"/>
        <v>34</v>
      </c>
      <c r="I29" s="2">
        <v>1</v>
      </c>
      <c r="J29" s="2" t="s">
        <v>100</v>
      </c>
      <c r="K29" s="2">
        <f>42*14</f>
        <v>588</v>
      </c>
      <c r="L29" s="2">
        <f t="shared" si="5"/>
        <v>35.28</v>
      </c>
      <c r="M29" s="2">
        <f t="shared" ref="M29:M30" si="13">M28+L29</f>
        <v>95.76</v>
      </c>
      <c r="N29" s="2">
        <v>1</v>
      </c>
      <c r="O29" s="2" t="s">
        <v>117</v>
      </c>
      <c r="Q29" t="s">
        <v>98</v>
      </c>
      <c r="R29" t="s">
        <v>95</v>
      </c>
      <c r="S29" s="33">
        <v>7.28</v>
      </c>
      <c r="T29" t="s">
        <v>104</v>
      </c>
      <c r="U29">
        <v>3.86</v>
      </c>
      <c r="V29" t="s">
        <v>96</v>
      </c>
      <c r="W29">
        <v>4.2</v>
      </c>
      <c r="X29" t="s">
        <v>104</v>
      </c>
      <c r="Y29">
        <v>11</v>
      </c>
      <c r="AA29">
        <f t="shared" si="6"/>
        <v>36.4</v>
      </c>
      <c r="AB29">
        <f t="shared" si="7"/>
        <v>2.1839999999999997</v>
      </c>
      <c r="AD29">
        <f t="shared" si="8"/>
        <v>5.79</v>
      </c>
      <c r="AE29">
        <f t="shared" ref="AE29:AE30" si="14">AD29*0.06</f>
        <v>0.34739999999999999</v>
      </c>
      <c r="AF29">
        <f t="shared" si="9"/>
        <v>6.3000000000000007</v>
      </c>
      <c r="AG29">
        <f t="shared" si="2"/>
        <v>0.378</v>
      </c>
      <c r="AH29">
        <f t="shared" si="10"/>
        <v>16.5</v>
      </c>
      <c r="AI29">
        <f t="shared" si="2"/>
        <v>0.99</v>
      </c>
    </row>
    <row r="30" spans="1:35" x14ac:dyDescent="0.25">
      <c r="A30">
        <v>2400</v>
      </c>
      <c r="B30" s="2">
        <f t="shared" ref="B30" si="15">B29+A30</f>
        <v>9620</v>
      </c>
      <c r="C30" s="2">
        <f t="shared" si="3"/>
        <v>160.33333333333334</v>
      </c>
      <c r="D30" s="2">
        <v>1</v>
      </c>
      <c r="E30" s="2" t="s">
        <v>110</v>
      </c>
      <c r="F30" s="2">
        <v>3000</v>
      </c>
      <c r="G30" s="2">
        <f t="shared" si="12"/>
        <v>5040</v>
      </c>
      <c r="H30" s="2">
        <f t="shared" si="4"/>
        <v>84</v>
      </c>
      <c r="I30" s="2">
        <v>1</v>
      </c>
      <c r="J30" s="2" t="s">
        <v>103</v>
      </c>
      <c r="K30" s="2">
        <f>42*14</f>
        <v>588</v>
      </c>
      <c r="L30" s="2">
        <f t="shared" si="5"/>
        <v>35.28</v>
      </c>
      <c r="M30" s="2">
        <f t="shared" si="13"/>
        <v>131.04000000000002</v>
      </c>
      <c r="N30" s="2">
        <v>1</v>
      </c>
      <c r="O30" s="2" t="s">
        <v>116</v>
      </c>
      <c r="Q30" t="s">
        <v>99</v>
      </c>
      <c r="R30" t="s">
        <v>95</v>
      </c>
      <c r="S30" s="33">
        <v>7.28</v>
      </c>
      <c r="T30" t="s">
        <v>108</v>
      </c>
      <c r="U30">
        <f>3.86+7.77</f>
        <v>11.629999999999999</v>
      </c>
      <c r="V30" t="s">
        <v>96</v>
      </c>
      <c r="W30">
        <v>4.2</v>
      </c>
      <c r="X30" t="s">
        <v>108</v>
      </c>
      <c r="Y30">
        <f>5.21+7.67</f>
        <v>12.879999999999999</v>
      </c>
      <c r="AA30">
        <f t="shared" si="6"/>
        <v>36.4</v>
      </c>
      <c r="AB30">
        <f t="shared" si="7"/>
        <v>2.1839999999999997</v>
      </c>
      <c r="AD30">
        <f t="shared" si="8"/>
        <v>17.445</v>
      </c>
      <c r="AE30">
        <f t="shared" si="14"/>
        <v>1.0467</v>
      </c>
      <c r="AF30">
        <f t="shared" si="9"/>
        <v>6.3000000000000007</v>
      </c>
      <c r="AG30">
        <f t="shared" si="2"/>
        <v>0.378</v>
      </c>
      <c r="AH30">
        <f t="shared" si="10"/>
        <v>19.32</v>
      </c>
      <c r="AI30">
        <f t="shared" si="2"/>
        <v>1.1592</v>
      </c>
    </row>
    <row r="31" spans="1:35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S31" s="33"/>
    </row>
    <row r="32" spans="1:35" x14ac:dyDescent="0.25">
      <c r="B32" s="2"/>
      <c r="C32" s="2"/>
      <c r="D32" s="2"/>
      <c r="E32" s="2"/>
      <c r="F32" s="2"/>
      <c r="G32" s="2"/>
      <c r="H32" s="2"/>
      <c r="I32" s="2"/>
      <c r="J32" s="2"/>
      <c r="S32" s="33"/>
    </row>
    <row r="33" spans="1:32" x14ac:dyDescent="0.25">
      <c r="B33" s="2"/>
      <c r="C33" s="2"/>
      <c r="D33" s="2"/>
      <c r="E33" s="2">
        <v>3</v>
      </c>
      <c r="F33" s="2" t="s">
        <v>118</v>
      </c>
      <c r="G33" s="2"/>
      <c r="H33" s="2"/>
      <c r="I33" s="2"/>
      <c r="J33" s="2"/>
      <c r="S33" s="33"/>
    </row>
    <row r="34" spans="1:32" x14ac:dyDescent="0.25">
      <c r="B34" s="2"/>
      <c r="C34" s="2"/>
      <c r="D34" s="2"/>
      <c r="E34" s="2">
        <v>6</v>
      </c>
      <c r="F34" s="2" t="s">
        <v>111</v>
      </c>
      <c r="G34" s="2"/>
      <c r="H34" s="2"/>
      <c r="I34" s="2"/>
      <c r="R34" t="s">
        <v>95</v>
      </c>
      <c r="S34" s="33">
        <v>16.86</v>
      </c>
      <c r="AA34">
        <f t="shared" ref="AA34" si="16">S34*5</f>
        <v>84.3</v>
      </c>
      <c r="AB34">
        <f t="shared" ref="AB34" si="17">AA34*0.06</f>
        <v>5.0579999999999998</v>
      </c>
    </row>
    <row r="35" spans="1:32" x14ac:dyDescent="0.25">
      <c r="B35" s="2"/>
      <c r="C35" s="2"/>
      <c r="D35" s="2"/>
      <c r="E35" s="2">
        <v>9</v>
      </c>
      <c r="F35" s="2" t="s">
        <v>119</v>
      </c>
      <c r="G35" s="2"/>
      <c r="H35" s="2"/>
      <c r="I35" s="2"/>
    </row>
    <row r="36" spans="1:32" x14ac:dyDescent="0.25">
      <c r="B36" s="2"/>
      <c r="C36" s="2"/>
      <c r="D36" s="2"/>
      <c r="E36" s="2">
        <v>12</v>
      </c>
      <c r="F36" s="2" t="s">
        <v>114</v>
      </c>
      <c r="G36" s="2"/>
      <c r="H36" s="2"/>
      <c r="I36" s="2"/>
      <c r="AE36">
        <v>2.5</v>
      </c>
      <c r="AF36">
        <f>AE36*60</f>
        <v>150</v>
      </c>
    </row>
    <row r="37" spans="1:32" x14ac:dyDescent="0.25">
      <c r="B37" s="2"/>
      <c r="C37" s="2"/>
      <c r="D37" s="2"/>
      <c r="E37" s="2">
        <v>15</v>
      </c>
      <c r="F37" s="2" t="s">
        <v>120</v>
      </c>
      <c r="G37" s="2"/>
      <c r="H37" s="2"/>
      <c r="I37" s="2"/>
      <c r="O37" t="s">
        <v>47</v>
      </c>
    </row>
    <row r="38" spans="1:32" x14ac:dyDescent="0.25">
      <c r="B38" s="2"/>
      <c r="C38" s="2"/>
      <c r="D38" s="2"/>
      <c r="E38" s="2"/>
      <c r="F38" s="2"/>
      <c r="G38" s="2"/>
      <c r="H38" s="2"/>
      <c r="I38" s="2"/>
      <c r="M38">
        <v>1</v>
      </c>
      <c r="N38">
        <v>35</v>
      </c>
      <c r="O38">
        <f>O39/2</f>
        <v>2.1</v>
      </c>
      <c r="P38" t="s">
        <v>121</v>
      </c>
    </row>
    <row r="39" spans="1:32" x14ac:dyDescent="0.25">
      <c r="B39" s="2"/>
      <c r="C39" s="2"/>
      <c r="D39" s="2"/>
      <c r="E39" s="2"/>
      <c r="F39" s="2"/>
      <c r="G39" s="2"/>
      <c r="H39" s="2"/>
      <c r="I39" s="2"/>
      <c r="M39">
        <v>2</v>
      </c>
      <c r="N39">
        <v>70</v>
      </c>
      <c r="O39">
        <f>N39*0.06</f>
        <v>4.2</v>
      </c>
      <c r="P39" t="s">
        <v>122</v>
      </c>
    </row>
    <row r="40" spans="1:32" x14ac:dyDescent="0.25">
      <c r="B40" s="2"/>
      <c r="C40" s="2"/>
      <c r="D40" s="2"/>
      <c r="E40" s="2"/>
      <c r="F40" s="2"/>
      <c r="G40" s="2"/>
      <c r="H40" s="2"/>
      <c r="I40" s="2"/>
      <c r="M40">
        <v>3</v>
      </c>
      <c r="N40">
        <f>N39+35</f>
        <v>105</v>
      </c>
      <c r="O40">
        <f t="shared" ref="O40:O45" si="18">N40*0.06</f>
        <v>6.3</v>
      </c>
      <c r="P40" t="s">
        <v>111</v>
      </c>
    </row>
    <row r="41" spans="1:32" x14ac:dyDescent="0.25">
      <c r="B41" s="2"/>
      <c r="C41" s="2"/>
      <c r="D41" s="2"/>
      <c r="E41" s="2"/>
      <c r="F41" s="2"/>
      <c r="G41" s="2"/>
      <c r="H41" s="2"/>
      <c r="I41" s="2"/>
      <c r="M41">
        <v>4</v>
      </c>
      <c r="N41">
        <f t="shared" ref="N41:N45" si="19">N40+35</f>
        <v>140</v>
      </c>
      <c r="O41">
        <f t="shared" si="18"/>
        <v>8.4</v>
      </c>
      <c r="P41" t="s">
        <v>119</v>
      </c>
    </row>
    <row r="42" spans="1:32" x14ac:dyDescent="0.25">
      <c r="B42" s="2"/>
      <c r="C42" s="2"/>
      <c r="D42" s="2"/>
      <c r="E42" s="2"/>
      <c r="F42" s="2"/>
      <c r="G42" s="2"/>
      <c r="H42" s="2"/>
      <c r="I42" s="2"/>
      <c r="M42">
        <v>5</v>
      </c>
      <c r="N42">
        <f t="shared" si="19"/>
        <v>175</v>
      </c>
      <c r="O42">
        <f t="shared" si="18"/>
        <v>10.5</v>
      </c>
      <c r="P42" t="s">
        <v>114</v>
      </c>
    </row>
    <row r="43" spans="1:32" x14ac:dyDescent="0.25">
      <c r="A43" t="s">
        <v>378</v>
      </c>
      <c r="B43" t="s">
        <v>379</v>
      </c>
      <c r="C43" t="s">
        <v>380</v>
      </c>
      <c r="D43" s="2"/>
      <c r="E43" s="2"/>
      <c r="F43" s="2"/>
      <c r="G43" s="2"/>
      <c r="H43" s="2"/>
      <c r="I43" s="2"/>
      <c r="M43">
        <v>6</v>
      </c>
      <c r="N43">
        <f t="shared" si="19"/>
        <v>210</v>
      </c>
      <c r="O43">
        <f t="shared" si="18"/>
        <v>12.6</v>
      </c>
      <c r="P43" t="s">
        <v>114</v>
      </c>
    </row>
    <row r="44" spans="1:32" x14ac:dyDescent="0.25">
      <c r="A44">
        <v>2</v>
      </c>
      <c r="B44">
        <v>4</v>
      </c>
      <c r="C44" t="s">
        <v>118</v>
      </c>
      <c r="D44" s="2"/>
      <c r="E44" s="2"/>
      <c r="F44" s="2"/>
      <c r="G44" s="2"/>
      <c r="H44" s="2"/>
      <c r="I44" s="2"/>
      <c r="M44">
        <v>7</v>
      </c>
      <c r="N44">
        <f t="shared" si="19"/>
        <v>245</v>
      </c>
      <c r="O44">
        <f t="shared" si="18"/>
        <v>14.7</v>
      </c>
      <c r="P44" t="s">
        <v>123</v>
      </c>
    </row>
    <row r="45" spans="1:32" x14ac:dyDescent="0.25">
      <c r="A45">
        <v>4</v>
      </c>
      <c r="B45">
        <v>8</v>
      </c>
      <c r="C45" t="s">
        <v>111</v>
      </c>
      <c r="D45" s="2"/>
      <c r="E45" s="2"/>
      <c r="F45" s="2"/>
      <c r="G45" s="2"/>
      <c r="H45" s="2"/>
      <c r="I45" s="2"/>
      <c r="M45">
        <v>8</v>
      </c>
      <c r="N45">
        <f t="shared" si="19"/>
        <v>280</v>
      </c>
      <c r="O45">
        <f t="shared" si="18"/>
        <v>16.8</v>
      </c>
      <c r="P45" t="s">
        <v>123</v>
      </c>
    </row>
    <row r="46" spans="1:32" x14ac:dyDescent="0.25">
      <c r="A46">
        <v>6</v>
      </c>
      <c r="B46">
        <v>12</v>
      </c>
      <c r="C46" t="s">
        <v>114</v>
      </c>
      <c r="D46" s="2"/>
      <c r="E46" s="2"/>
      <c r="F46" s="2"/>
      <c r="G46" s="2"/>
      <c r="H46" s="2"/>
      <c r="I46" s="2"/>
    </row>
    <row r="47" spans="1:32" x14ac:dyDescent="0.25">
      <c r="A47">
        <v>8</v>
      </c>
      <c r="B47">
        <v>16</v>
      </c>
      <c r="C47" t="s">
        <v>123</v>
      </c>
      <c r="D47" s="2"/>
      <c r="E47" s="2"/>
      <c r="F47" s="2"/>
      <c r="G47" s="2"/>
      <c r="H47" s="2"/>
      <c r="I47" s="2"/>
    </row>
    <row r="48" spans="1:32" x14ac:dyDescent="0.25">
      <c r="A48">
        <v>10</v>
      </c>
      <c r="B48">
        <v>20</v>
      </c>
      <c r="C48" t="s">
        <v>381</v>
      </c>
      <c r="D48" s="2"/>
      <c r="E48" s="2"/>
      <c r="F48" s="2"/>
      <c r="G48" s="2"/>
      <c r="H48" s="2"/>
      <c r="I48" s="2"/>
    </row>
    <row r="49" spans="1:3" x14ac:dyDescent="0.25">
      <c r="A49">
        <v>12</v>
      </c>
      <c r="B49">
        <v>24</v>
      </c>
      <c r="C49" t="s">
        <v>113</v>
      </c>
    </row>
    <row r="50" spans="1:3" x14ac:dyDescent="0.25">
      <c r="A50">
        <v>14</v>
      </c>
      <c r="B50">
        <v>28</v>
      </c>
      <c r="C50" t="s">
        <v>372</v>
      </c>
    </row>
    <row r="51" spans="1:3" x14ac:dyDescent="0.25">
      <c r="A51">
        <v>16</v>
      </c>
      <c r="B51">
        <v>32</v>
      </c>
      <c r="C51" t="s">
        <v>100</v>
      </c>
    </row>
    <row r="52" spans="1:3" x14ac:dyDescent="0.25">
      <c r="A52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topLeftCell="A64" zoomScale="75" zoomScaleNormal="75" workbookViewId="0">
      <selection activeCell="A107" sqref="A107"/>
    </sheetView>
  </sheetViews>
  <sheetFormatPr baseColWidth="10" defaultRowHeight="15" x14ac:dyDescent="0.25"/>
  <cols>
    <col min="1" max="1" width="27.42578125" bestFit="1" customWidth="1"/>
    <col min="2" max="2" width="4.85546875" bestFit="1" customWidth="1"/>
    <col min="3" max="3" width="5" bestFit="1" customWidth="1"/>
    <col min="4" max="4" width="8.28515625" bestFit="1" customWidth="1"/>
    <col min="5" max="5" width="9.28515625" bestFit="1" customWidth="1"/>
    <col min="6" max="6" width="6.5703125" bestFit="1" customWidth="1"/>
    <col min="7" max="7" width="8.28515625" bestFit="1" customWidth="1"/>
    <col min="8" max="8" width="7.28515625" bestFit="1" customWidth="1"/>
    <col min="9" max="9" width="9.85546875" bestFit="1" customWidth="1"/>
    <col min="10" max="10" width="6.85546875" bestFit="1" customWidth="1"/>
    <col min="11" max="11" width="9.140625" bestFit="1" customWidth="1"/>
    <col min="12" max="12" width="10.42578125" customWidth="1"/>
    <col min="13" max="13" width="6.7109375" bestFit="1" customWidth="1"/>
    <col min="14" max="15" width="5.7109375" bestFit="1" customWidth="1"/>
    <col min="16" max="16" width="7.42578125" bestFit="1" customWidth="1"/>
    <col min="17" max="17" width="5" bestFit="1" customWidth="1"/>
    <col min="18" max="18" width="8.140625" bestFit="1" customWidth="1"/>
    <col min="20" max="20" width="11.42578125" customWidth="1"/>
  </cols>
  <sheetData>
    <row r="1" spans="1:20" ht="15.75" thickBot="1" x14ac:dyDescent="0.3">
      <c r="I1" s="60" t="s">
        <v>138</v>
      </c>
      <c r="J1" s="61" t="s">
        <v>138</v>
      </c>
      <c r="K1" s="61" t="s">
        <v>160</v>
      </c>
      <c r="L1" s="61" t="s">
        <v>161</v>
      </c>
      <c r="M1" s="61" t="s">
        <v>138</v>
      </c>
      <c r="N1" s="61" t="s">
        <v>138</v>
      </c>
      <c r="O1" s="61" t="s">
        <v>138</v>
      </c>
      <c r="P1" s="61" t="s">
        <v>138</v>
      </c>
    </row>
    <row r="2" spans="1:20" x14ac:dyDescent="0.25">
      <c r="A2" s="60" t="s">
        <v>138</v>
      </c>
      <c r="B2" s="61" t="s">
        <v>71</v>
      </c>
      <c r="C2" s="61" t="s">
        <v>139</v>
      </c>
      <c r="D2" s="61" t="s">
        <v>140</v>
      </c>
      <c r="E2" s="61" t="s">
        <v>140</v>
      </c>
      <c r="F2" s="61" t="s">
        <v>141</v>
      </c>
      <c r="G2" s="61" t="s">
        <v>142</v>
      </c>
      <c r="H2" s="61" t="s">
        <v>138</v>
      </c>
      <c r="I2" s="62" t="s">
        <v>138</v>
      </c>
      <c r="J2" s="63" t="s">
        <v>160</v>
      </c>
      <c r="K2" s="63" t="s">
        <v>140</v>
      </c>
      <c r="L2" s="63" t="s">
        <v>141</v>
      </c>
      <c r="M2" s="63" t="s">
        <v>162</v>
      </c>
      <c r="N2" s="63" t="s">
        <v>138</v>
      </c>
      <c r="O2" s="63" t="s">
        <v>138</v>
      </c>
      <c r="P2" s="63" t="s">
        <v>163</v>
      </c>
      <c r="Q2" s="74" t="s">
        <v>244</v>
      </c>
      <c r="R2" s="74" t="s">
        <v>348</v>
      </c>
      <c r="S2" s="63" t="s">
        <v>350</v>
      </c>
      <c r="T2" s="63" t="s">
        <v>352</v>
      </c>
    </row>
    <row r="3" spans="1:20" x14ac:dyDescent="0.25">
      <c r="A3" s="62" t="s">
        <v>138</v>
      </c>
      <c r="B3" s="63" t="s">
        <v>140</v>
      </c>
      <c r="C3" s="63" t="s">
        <v>140</v>
      </c>
      <c r="D3" s="63" t="s">
        <v>143</v>
      </c>
      <c r="E3" s="63" t="s">
        <v>144</v>
      </c>
      <c r="F3" s="63" t="s">
        <v>145</v>
      </c>
      <c r="G3" s="63" t="s">
        <v>146</v>
      </c>
      <c r="H3" s="63" t="s">
        <v>138</v>
      </c>
      <c r="I3" s="62" t="s">
        <v>138</v>
      </c>
      <c r="J3" s="63" t="s">
        <v>140</v>
      </c>
      <c r="K3" s="63" t="s">
        <v>164</v>
      </c>
      <c r="L3" s="63" t="s">
        <v>145</v>
      </c>
      <c r="M3" s="63" t="s">
        <v>165</v>
      </c>
      <c r="N3" s="63" t="s">
        <v>162</v>
      </c>
      <c r="O3" s="63" t="s">
        <v>162</v>
      </c>
      <c r="P3" s="63" t="s">
        <v>165</v>
      </c>
      <c r="Q3" s="75" t="s">
        <v>247</v>
      </c>
      <c r="R3" s="75"/>
      <c r="S3" s="75" t="s">
        <v>351</v>
      </c>
      <c r="T3" s="75" t="s">
        <v>353</v>
      </c>
    </row>
    <row r="4" spans="1:20" ht="15.75" thickBot="1" x14ac:dyDescent="0.3">
      <c r="A4" s="62" t="s">
        <v>138</v>
      </c>
      <c r="B4" s="63" t="s">
        <v>147</v>
      </c>
      <c r="C4" s="63" t="s">
        <v>147</v>
      </c>
      <c r="D4" s="63" t="s">
        <v>148</v>
      </c>
      <c r="E4" s="63" t="s">
        <v>148</v>
      </c>
      <c r="F4" s="63" t="s">
        <v>149</v>
      </c>
      <c r="G4" s="63" t="s">
        <v>150</v>
      </c>
      <c r="H4" s="63" t="s">
        <v>151</v>
      </c>
      <c r="I4" s="62" t="s">
        <v>138</v>
      </c>
      <c r="J4" s="63" t="s">
        <v>147</v>
      </c>
      <c r="K4" s="63" t="s">
        <v>166</v>
      </c>
      <c r="L4" s="63" t="s">
        <v>167</v>
      </c>
      <c r="M4" s="63" t="s">
        <v>168</v>
      </c>
      <c r="N4" s="63" t="s">
        <v>169</v>
      </c>
      <c r="O4" s="63" t="s">
        <v>169</v>
      </c>
      <c r="P4" s="63" t="s">
        <v>168</v>
      </c>
      <c r="Q4" s="76" t="s">
        <v>249</v>
      </c>
      <c r="R4" s="76" t="s">
        <v>349</v>
      </c>
    </row>
    <row r="5" spans="1:20" ht="15.75" thickBot="1" x14ac:dyDescent="0.3">
      <c r="A5" s="64" t="s">
        <v>152</v>
      </c>
      <c r="B5" s="65" t="s">
        <v>153</v>
      </c>
      <c r="C5" s="65" t="s">
        <v>153</v>
      </c>
      <c r="D5" s="65" t="s">
        <v>154</v>
      </c>
      <c r="E5" s="65" t="s">
        <v>154</v>
      </c>
      <c r="F5" s="65" t="s">
        <v>155</v>
      </c>
      <c r="G5" s="65" t="s">
        <v>147</v>
      </c>
      <c r="H5" s="65" t="s">
        <v>156</v>
      </c>
      <c r="I5" s="64" t="s">
        <v>152</v>
      </c>
      <c r="J5" s="65" t="s">
        <v>153</v>
      </c>
      <c r="K5" s="65" t="s">
        <v>154</v>
      </c>
      <c r="L5" s="65" t="s">
        <v>155</v>
      </c>
      <c r="M5" s="65" t="s">
        <v>155</v>
      </c>
      <c r="N5" s="65" t="s">
        <v>170</v>
      </c>
      <c r="O5" s="65" t="s">
        <v>153</v>
      </c>
      <c r="P5" s="65" t="s">
        <v>155</v>
      </c>
      <c r="Q5" s="77" t="s">
        <v>138</v>
      </c>
      <c r="R5" s="77" t="s">
        <v>138</v>
      </c>
    </row>
    <row r="6" spans="1:20" ht="15.75" thickBot="1" x14ac:dyDescent="0.3">
      <c r="A6" s="71" t="s">
        <v>181</v>
      </c>
      <c r="B6" s="85">
        <v>3.1</v>
      </c>
      <c r="C6" s="68">
        <v>3.1</v>
      </c>
      <c r="D6" s="68" t="s">
        <v>393</v>
      </c>
      <c r="E6" s="68" t="s">
        <v>158</v>
      </c>
      <c r="F6" s="68">
        <v>0.13</v>
      </c>
      <c r="G6" s="68" t="s">
        <v>159</v>
      </c>
      <c r="H6" s="68">
        <v>11.87</v>
      </c>
      <c r="I6" s="67" t="s">
        <v>157</v>
      </c>
      <c r="J6" s="68">
        <v>2</v>
      </c>
      <c r="K6" s="68" t="s">
        <v>394</v>
      </c>
      <c r="L6" s="68">
        <v>0.04</v>
      </c>
      <c r="M6" s="68">
        <v>286</v>
      </c>
      <c r="N6" s="68">
        <v>0</v>
      </c>
      <c r="O6" s="68">
        <v>0</v>
      </c>
      <c r="P6" s="68">
        <v>60</v>
      </c>
      <c r="Q6" s="77">
        <v>24.1</v>
      </c>
      <c r="R6">
        <f>Q6*2.7</f>
        <v>65.070000000000007</v>
      </c>
      <c r="S6" s="80">
        <f>P6*3.6/R6</f>
        <v>3.3195020746887964</v>
      </c>
      <c r="T6" s="80">
        <f>M6*3.6/R6</f>
        <v>15.822959889349931</v>
      </c>
    </row>
    <row r="7" spans="1:20" ht="15.75" thickBot="1" x14ac:dyDescent="0.3">
      <c r="A7" s="71" t="s">
        <v>180</v>
      </c>
      <c r="B7" s="85">
        <v>3.1</v>
      </c>
      <c r="C7" s="68">
        <v>3.1</v>
      </c>
      <c r="D7" s="68" t="s">
        <v>393</v>
      </c>
      <c r="E7" s="68" t="s">
        <v>158</v>
      </c>
      <c r="F7" s="68">
        <v>0.14000000000000001</v>
      </c>
      <c r="G7" s="68" t="s">
        <v>159</v>
      </c>
      <c r="H7" s="68">
        <v>11.7</v>
      </c>
      <c r="I7" s="67" t="s">
        <v>157</v>
      </c>
      <c r="J7" s="85">
        <v>1.8</v>
      </c>
      <c r="K7" s="68" t="s">
        <v>395</v>
      </c>
      <c r="L7" s="68">
        <v>0.04</v>
      </c>
      <c r="M7" s="68">
        <v>288</v>
      </c>
      <c r="N7" s="68">
        <v>0</v>
      </c>
      <c r="O7" s="68">
        <v>0</v>
      </c>
      <c r="P7" s="68">
        <v>62</v>
      </c>
      <c r="Q7" s="78">
        <v>24.6</v>
      </c>
      <c r="R7">
        <f t="shared" ref="R7:R79" si="0">Q7*2.7</f>
        <v>66.42</v>
      </c>
      <c r="S7" s="80">
        <f t="shared" ref="S7:S79" si="1">P7*3.6/R7</f>
        <v>3.3604336043360434</v>
      </c>
      <c r="T7" s="80">
        <f t="shared" ref="T7:T79" si="2">M7*3.6/R7</f>
        <v>15.609756097560975</v>
      </c>
    </row>
    <row r="8" spans="1:20" ht="15.75" thickBot="1" x14ac:dyDescent="0.3">
      <c r="A8" s="71" t="s">
        <v>182</v>
      </c>
      <c r="B8" s="85">
        <v>3.1</v>
      </c>
      <c r="C8" s="68">
        <v>3.1</v>
      </c>
      <c r="D8" s="68" t="s">
        <v>205</v>
      </c>
      <c r="E8" s="68" t="s">
        <v>223</v>
      </c>
      <c r="F8" s="68">
        <v>0.13</v>
      </c>
      <c r="G8" s="68" t="s">
        <v>396</v>
      </c>
      <c r="H8" s="68">
        <v>12.34</v>
      </c>
      <c r="I8" s="67" t="s">
        <v>157</v>
      </c>
      <c r="J8" s="85">
        <v>2.1</v>
      </c>
      <c r="K8" s="68" t="s">
        <v>397</v>
      </c>
      <c r="L8" s="68">
        <v>0.05</v>
      </c>
      <c r="M8" s="68">
        <v>294</v>
      </c>
      <c r="N8" s="68">
        <v>0</v>
      </c>
      <c r="O8" s="68">
        <v>0</v>
      </c>
      <c r="P8" s="68">
        <v>75</v>
      </c>
      <c r="Q8" s="78">
        <v>23.8</v>
      </c>
      <c r="R8">
        <f t="shared" si="0"/>
        <v>64.260000000000005</v>
      </c>
      <c r="S8" s="80">
        <f t="shared" si="1"/>
        <v>4.2016806722689068</v>
      </c>
      <c r="T8" s="80">
        <f t="shared" si="2"/>
        <v>16.470588235294116</v>
      </c>
    </row>
    <row r="9" spans="1:20" ht="15.75" thickBot="1" x14ac:dyDescent="0.3">
      <c r="A9" s="71" t="s">
        <v>179</v>
      </c>
      <c r="B9" s="85">
        <v>2</v>
      </c>
      <c r="C9" s="68">
        <v>1.8</v>
      </c>
      <c r="D9" s="68" t="s">
        <v>222</v>
      </c>
      <c r="E9" s="68" t="s">
        <v>173</v>
      </c>
      <c r="F9" s="68">
        <v>0.09</v>
      </c>
      <c r="G9" s="68" t="s">
        <v>159</v>
      </c>
      <c r="H9" s="68">
        <v>12.59</v>
      </c>
      <c r="I9" s="67" t="s">
        <v>157</v>
      </c>
      <c r="J9" s="85">
        <v>0.6</v>
      </c>
      <c r="K9" s="68" t="s">
        <v>364</v>
      </c>
      <c r="L9" s="68">
        <v>0.01</v>
      </c>
      <c r="M9" s="68">
        <v>160</v>
      </c>
      <c r="N9" s="68">
        <v>0</v>
      </c>
      <c r="O9" s="68">
        <v>0</v>
      </c>
      <c r="P9" s="68">
        <v>18</v>
      </c>
      <c r="Q9" s="78">
        <v>12.7</v>
      </c>
      <c r="R9">
        <f t="shared" si="0"/>
        <v>34.29</v>
      </c>
      <c r="S9" s="80">
        <f t="shared" si="1"/>
        <v>1.889763779527559</v>
      </c>
      <c r="T9" s="80">
        <f t="shared" si="2"/>
        <v>16.797900262467191</v>
      </c>
    </row>
    <row r="10" spans="1:20" ht="15.75" thickBot="1" x14ac:dyDescent="0.3">
      <c r="A10" s="71" t="s">
        <v>178</v>
      </c>
      <c r="B10" s="85">
        <v>0.4</v>
      </c>
      <c r="C10" s="68">
        <v>0.4</v>
      </c>
      <c r="D10" s="68" t="s">
        <v>225</v>
      </c>
      <c r="E10" s="68" t="s">
        <v>202</v>
      </c>
      <c r="F10" s="68">
        <v>0.02</v>
      </c>
      <c r="G10" s="68" t="s">
        <v>398</v>
      </c>
      <c r="H10" s="68">
        <v>3.05</v>
      </c>
      <c r="I10" s="67" t="s">
        <v>157</v>
      </c>
      <c r="J10" s="85">
        <v>0.3</v>
      </c>
      <c r="K10" s="68" t="s">
        <v>399</v>
      </c>
      <c r="L10" s="68">
        <v>0.01</v>
      </c>
      <c r="M10" s="68">
        <v>30</v>
      </c>
      <c r="N10" s="68">
        <v>0</v>
      </c>
      <c r="O10" s="68">
        <v>0</v>
      </c>
      <c r="P10" s="68">
        <v>7</v>
      </c>
      <c r="Q10" s="78">
        <v>9.9</v>
      </c>
      <c r="R10">
        <f t="shared" si="0"/>
        <v>26.730000000000004</v>
      </c>
      <c r="S10" s="80">
        <f t="shared" si="1"/>
        <v>0.94276094276094258</v>
      </c>
      <c r="T10" s="80">
        <f t="shared" si="2"/>
        <v>4.0404040404040398</v>
      </c>
    </row>
    <row r="11" spans="1:20" ht="15.75" thickBot="1" x14ac:dyDescent="0.3">
      <c r="A11" s="71" t="s">
        <v>183</v>
      </c>
      <c r="B11" s="85">
        <v>0.5</v>
      </c>
      <c r="C11" s="68">
        <v>0.5</v>
      </c>
      <c r="D11" s="68" t="s">
        <v>409</v>
      </c>
      <c r="E11" s="68" t="s">
        <v>410</v>
      </c>
      <c r="F11" s="68">
        <v>0.02</v>
      </c>
      <c r="G11" s="68" t="s">
        <v>177</v>
      </c>
      <c r="H11" s="68">
        <v>2.71</v>
      </c>
      <c r="I11" s="67" t="s">
        <v>157</v>
      </c>
      <c r="J11" s="85">
        <v>0.9</v>
      </c>
      <c r="K11" s="68" t="s">
        <v>517</v>
      </c>
      <c r="L11" s="68">
        <v>0.02</v>
      </c>
      <c r="M11" s="68">
        <v>41</v>
      </c>
      <c r="N11" s="68">
        <v>0</v>
      </c>
      <c r="O11" s="68">
        <v>0</v>
      </c>
      <c r="P11" s="68">
        <v>38</v>
      </c>
      <c r="Q11" s="78">
        <v>15</v>
      </c>
      <c r="R11">
        <f t="shared" si="0"/>
        <v>40.5</v>
      </c>
      <c r="S11" s="80">
        <f t="shared" si="1"/>
        <v>3.3777777777777782</v>
      </c>
      <c r="T11" s="80">
        <f t="shared" si="2"/>
        <v>3.6444444444444444</v>
      </c>
    </row>
    <row r="12" spans="1:20" ht="15.75" thickBot="1" x14ac:dyDescent="0.3">
      <c r="A12" s="71" t="s">
        <v>358</v>
      </c>
      <c r="B12" s="85">
        <v>0.6</v>
      </c>
      <c r="C12" s="68">
        <v>0.5</v>
      </c>
      <c r="D12" s="68" t="s">
        <v>400</v>
      </c>
      <c r="E12" s="68" t="s">
        <v>202</v>
      </c>
      <c r="F12" s="68">
        <v>0.03</v>
      </c>
      <c r="G12" s="68" t="s">
        <v>177</v>
      </c>
      <c r="H12" s="68">
        <v>2.71</v>
      </c>
      <c r="I12" s="67" t="s">
        <v>157</v>
      </c>
      <c r="J12" s="85">
        <v>0.3</v>
      </c>
      <c r="K12" s="68" t="s">
        <v>401</v>
      </c>
      <c r="L12" s="68">
        <v>0.01</v>
      </c>
      <c r="M12" s="68">
        <v>42</v>
      </c>
      <c r="N12" s="68">
        <v>0</v>
      </c>
      <c r="O12" s="68">
        <v>0</v>
      </c>
      <c r="P12" s="68">
        <v>11</v>
      </c>
      <c r="Q12" s="78">
        <v>16</v>
      </c>
      <c r="R12">
        <f t="shared" si="0"/>
        <v>43.2</v>
      </c>
      <c r="S12" s="80">
        <f t="shared" ref="S12" si="3">P12*3.6/R12</f>
        <v>0.91666666666666663</v>
      </c>
      <c r="T12" s="80"/>
    </row>
    <row r="13" spans="1:20" ht="15.75" thickBot="1" x14ac:dyDescent="0.3">
      <c r="A13" s="71" t="s">
        <v>255</v>
      </c>
      <c r="B13" s="85">
        <v>2.2000000000000002</v>
      </c>
      <c r="C13" s="68">
        <v>2.2000000000000002</v>
      </c>
      <c r="D13" s="68" t="s">
        <v>212</v>
      </c>
      <c r="E13" s="68" t="s">
        <v>402</v>
      </c>
      <c r="F13" s="68">
        <v>0.09</v>
      </c>
      <c r="G13" s="68" t="s">
        <v>403</v>
      </c>
      <c r="H13" s="68">
        <v>10.86</v>
      </c>
      <c r="I13" s="67" t="s">
        <v>157</v>
      </c>
      <c r="J13" s="85">
        <v>1.5</v>
      </c>
      <c r="K13" s="68" t="s">
        <v>404</v>
      </c>
      <c r="L13" s="68">
        <v>0.03</v>
      </c>
      <c r="M13" s="68">
        <v>213</v>
      </c>
      <c r="N13" s="68">
        <v>0</v>
      </c>
      <c r="O13" s="68">
        <v>0</v>
      </c>
      <c r="P13" s="68">
        <v>49</v>
      </c>
      <c r="Q13" s="78">
        <v>19.600000000000001</v>
      </c>
      <c r="R13">
        <f t="shared" si="0"/>
        <v>52.920000000000009</v>
      </c>
      <c r="S13" s="80">
        <f t="shared" si="1"/>
        <v>3.333333333333333</v>
      </c>
      <c r="T13" s="80">
        <f t="shared" si="2"/>
        <v>14.489795918367346</v>
      </c>
    </row>
    <row r="14" spans="1:20" ht="15.75" thickBot="1" x14ac:dyDescent="0.3">
      <c r="A14" s="71" t="s">
        <v>256</v>
      </c>
      <c r="B14" s="85">
        <v>2.5</v>
      </c>
      <c r="C14" s="68">
        <v>2.5</v>
      </c>
      <c r="D14" s="68" t="s">
        <v>212</v>
      </c>
      <c r="E14" s="68" t="s">
        <v>402</v>
      </c>
      <c r="F14" s="68">
        <v>0.11</v>
      </c>
      <c r="G14" s="68" t="s">
        <v>405</v>
      </c>
      <c r="H14" s="68">
        <v>9.9</v>
      </c>
      <c r="I14" s="67" t="s">
        <v>157</v>
      </c>
      <c r="J14" s="85">
        <v>2</v>
      </c>
      <c r="K14" s="68" t="s">
        <v>406</v>
      </c>
      <c r="L14" s="68">
        <v>0.04</v>
      </c>
      <c r="M14" s="68">
        <v>242</v>
      </c>
      <c r="N14" s="68">
        <v>0</v>
      </c>
      <c r="O14" s="68">
        <v>0</v>
      </c>
      <c r="P14" s="68">
        <v>67</v>
      </c>
      <c r="Q14" s="78">
        <v>24.4</v>
      </c>
      <c r="R14">
        <f t="shared" si="0"/>
        <v>65.88</v>
      </c>
      <c r="S14" s="80">
        <f t="shared" si="1"/>
        <v>3.6612021857923502</v>
      </c>
      <c r="T14" s="80">
        <f t="shared" si="2"/>
        <v>13.224043715846996</v>
      </c>
    </row>
    <row r="15" spans="1:20" ht="15.75" thickBot="1" x14ac:dyDescent="0.3">
      <c r="A15" s="71" t="s">
        <v>257</v>
      </c>
      <c r="B15" s="85">
        <v>2</v>
      </c>
      <c r="C15" s="68">
        <v>2</v>
      </c>
      <c r="D15" s="68" t="s">
        <v>212</v>
      </c>
      <c r="E15" s="68" t="s">
        <v>407</v>
      </c>
      <c r="F15" s="68">
        <v>0.09</v>
      </c>
      <c r="G15" s="68" t="s">
        <v>403</v>
      </c>
      <c r="H15" s="68">
        <v>10.08</v>
      </c>
      <c r="I15" s="67" t="s">
        <v>157</v>
      </c>
      <c r="J15" s="85">
        <v>1.5</v>
      </c>
      <c r="K15" s="68" t="s">
        <v>408</v>
      </c>
      <c r="L15" s="68">
        <v>0.03</v>
      </c>
      <c r="M15" s="68">
        <v>198</v>
      </c>
      <c r="N15" s="68">
        <v>0</v>
      </c>
      <c r="O15" s="68">
        <v>0</v>
      </c>
      <c r="P15" s="68">
        <v>49</v>
      </c>
      <c r="Q15" s="78">
        <v>19.600000000000001</v>
      </c>
      <c r="R15">
        <f t="shared" si="0"/>
        <v>52.920000000000009</v>
      </c>
      <c r="S15" s="80">
        <f t="shared" si="1"/>
        <v>3.333333333333333</v>
      </c>
      <c r="T15" s="80">
        <f t="shared" si="2"/>
        <v>13.469387755102041</v>
      </c>
    </row>
    <row r="16" spans="1:20" ht="15.75" thickBot="1" x14ac:dyDescent="0.3">
      <c r="A16" s="71" t="s">
        <v>188</v>
      </c>
      <c r="B16" s="85">
        <v>0.5</v>
      </c>
      <c r="C16" s="68">
        <v>0.5</v>
      </c>
      <c r="D16" s="68" t="s">
        <v>409</v>
      </c>
      <c r="E16" s="68" t="s">
        <v>410</v>
      </c>
      <c r="F16" s="68">
        <v>0.02</v>
      </c>
      <c r="G16" s="68" t="s">
        <v>177</v>
      </c>
      <c r="H16" s="68">
        <v>3</v>
      </c>
      <c r="I16" s="67" t="s">
        <v>157</v>
      </c>
      <c r="J16" s="85">
        <v>1</v>
      </c>
      <c r="K16" s="68" t="s">
        <v>411</v>
      </c>
      <c r="L16" s="68">
        <v>0.02</v>
      </c>
      <c r="M16" s="68">
        <v>38</v>
      </c>
      <c r="N16" s="68">
        <v>0</v>
      </c>
      <c r="O16" s="68">
        <v>0</v>
      </c>
      <c r="P16" s="68">
        <v>35</v>
      </c>
      <c r="Q16" s="78">
        <v>12.6</v>
      </c>
      <c r="R16">
        <f t="shared" si="0"/>
        <v>34.020000000000003</v>
      </c>
      <c r="S16" s="80">
        <f t="shared" si="1"/>
        <v>3.7037037037037033</v>
      </c>
      <c r="T16" s="80">
        <f t="shared" si="2"/>
        <v>4.0211640211640214</v>
      </c>
    </row>
    <row r="17" spans="1:20" ht="15.75" thickBot="1" x14ac:dyDescent="0.3">
      <c r="A17" s="71" t="s">
        <v>190</v>
      </c>
      <c r="B17" s="85">
        <v>18</v>
      </c>
      <c r="C17" s="68">
        <v>18</v>
      </c>
      <c r="D17" s="68" t="s">
        <v>211</v>
      </c>
      <c r="E17" s="68" t="s">
        <v>412</v>
      </c>
      <c r="F17" s="68">
        <v>0.78</v>
      </c>
      <c r="G17" s="68" t="s">
        <v>398</v>
      </c>
      <c r="H17" s="68">
        <v>11.88</v>
      </c>
      <c r="I17" s="67" t="s">
        <v>157</v>
      </c>
      <c r="J17" s="85">
        <v>29.1</v>
      </c>
      <c r="K17" s="68" t="s">
        <v>413</v>
      </c>
      <c r="L17" s="68">
        <v>0.63</v>
      </c>
      <c r="M17" s="68">
        <v>1652</v>
      </c>
      <c r="N17" s="68">
        <v>0</v>
      </c>
      <c r="O17" s="68">
        <v>0</v>
      </c>
      <c r="P17" s="68">
        <v>1195</v>
      </c>
      <c r="Q17" s="78">
        <f>139/2</f>
        <v>69.5</v>
      </c>
      <c r="R17">
        <f t="shared" si="0"/>
        <v>187.65</v>
      </c>
      <c r="S17" s="80">
        <v>2</v>
      </c>
      <c r="T17" s="80">
        <f t="shared" si="2"/>
        <v>31.693045563549159</v>
      </c>
    </row>
    <row r="18" spans="1:20" ht="15.75" thickBot="1" x14ac:dyDescent="0.3">
      <c r="A18" s="71" t="s">
        <v>191</v>
      </c>
      <c r="B18" s="85">
        <v>18</v>
      </c>
      <c r="C18" s="68">
        <v>18</v>
      </c>
      <c r="D18" s="68" t="s">
        <v>211</v>
      </c>
      <c r="E18" s="68" t="s">
        <v>412</v>
      </c>
      <c r="F18" s="68">
        <v>0.78</v>
      </c>
      <c r="G18" s="68" t="s">
        <v>398</v>
      </c>
      <c r="H18" s="68">
        <v>11.88</v>
      </c>
      <c r="I18" s="67" t="s">
        <v>157</v>
      </c>
      <c r="J18" s="85">
        <v>29.1</v>
      </c>
      <c r="K18" s="68" t="s">
        <v>413</v>
      </c>
      <c r="L18" s="68">
        <v>0.63</v>
      </c>
      <c r="M18" s="68">
        <v>1652</v>
      </c>
      <c r="N18" s="68">
        <v>0</v>
      </c>
      <c r="O18" s="68">
        <v>0</v>
      </c>
      <c r="P18" s="68">
        <v>1195</v>
      </c>
      <c r="Q18" s="78">
        <v>69.5</v>
      </c>
      <c r="R18">
        <f t="shared" si="0"/>
        <v>187.65</v>
      </c>
      <c r="S18" s="80">
        <v>2</v>
      </c>
      <c r="T18" s="80">
        <f t="shared" si="2"/>
        <v>31.693045563549159</v>
      </c>
    </row>
    <row r="19" spans="1:20" ht="15.75" thickBot="1" x14ac:dyDescent="0.3">
      <c r="A19" s="71" t="s">
        <v>416</v>
      </c>
      <c r="B19" s="85">
        <v>3.9</v>
      </c>
      <c r="C19" s="68">
        <v>3.9</v>
      </c>
      <c r="D19" s="68" t="s">
        <v>196</v>
      </c>
      <c r="E19" s="68" t="s">
        <v>230</v>
      </c>
      <c r="F19" s="68">
        <v>0.17</v>
      </c>
      <c r="G19" s="68" t="s">
        <v>189</v>
      </c>
      <c r="H19" s="68">
        <v>18.8</v>
      </c>
      <c r="I19" s="67" t="s">
        <v>157</v>
      </c>
      <c r="J19" s="85">
        <v>0.8</v>
      </c>
      <c r="K19" s="68" t="s">
        <v>415</v>
      </c>
      <c r="L19" s="68">
        <v>0.02</v>
      </c>
      <c r="M19" s="68">
        <v>401</v>
      </c>
      <c r="N19" s="68">
        <v>0</v>
      </c>
      <c r="O19" s="68">
        <v>0</v>
      </c>
      <c r="P19" s="68">
        <v>8</v>
      </c>
      <c r="Q19" s="78">
        <v>11.8</v>
      </c>
      <c r="R19">
        <f t="shared" si="0"/>
        <v>31.860000000000003</v>
      </c>
      <c r="S19" s="80">
        <f t="shared" si="1"/>
        <v>0.90395480225988689</v>
      </c>
      <c r="T19" s="80">
        <f t="shared" si="2"/>
        <v>45.310734463276837</v>
      </c>
    </row>
    <row r="20" spans="1:20" ht="15.75" thickBot="1" x14ac:dyDescent="0.3">
      <c r="A20" s="71" t="s">
        <v>193</v>
      </c>
      <c r="B20" s="85">
        <v>3.9</v>
      </c>
      <c r="C20" s="68">
        <v>3.9</v>
      </c>
      <c r="D20" s="68" t="s">
        <v>196</v>
      </c>
      <c r="E20" s="68" t="s">
        <v>230</v>
      </c>
      <c r="F20" s="68">
        <v>0.17</v>
      </c>
      <c r="G20" s="68" t="s">
        <v>189</v>
      </c>
      <c r="H20" s="68">
        <v>18.8</v>
      </c>
      <c r="I20" s="67" t="s">
        <v>157</v>
      </c>
      <c r="J20" s="85">
        <v>0.7</v>
      </c>
      <c r="K20" s="68" t="s">
        <v>414</v>
      </c>
      <c r="L20" s="68">
        <v>0.02</v>
      </c>
      <c r="M20" s="68">
        <v>333</v>
      </c>
      <c r="N20" s="68">
        <v>0</v>
      </c>
      <c r="O20" s="68">
        <v>0</v>
      </c>
      <c r="P20" s="68">
        <v>12</v>
      </c>
      <c r="Q20" s="78">
        <v>17.7</v>
      </c>
      <c r="R20">
        <f t="shared" si="0"/>
        <v>47.79</v>
      </c>
      <c r="S20" s="80">
        <f t="shared" si="1"/>
        <v>0.90395480225988711</v>
      </c>
      <c r="T20" s="80">
        <f t="shared" si="2"/>
        <v>25.084745762711865</v>
      </c>
    </row>
    <row r="21" spans="1:20" ht="15.75" thickBot="1" x14ac:dyDescent="0.3">
      <c r="A21" s="71" t="s">
        <v>194</v>
      </c>
      <c r="B21" s="85">
        <v>5.8</v>
      </c>
      <c r="C21" s="68">
        <v>5.2</v>
      </c>
      <c r="D21" s="68" t="s">
        <v>419</v>
      </c>
      <c r="E21" s="68" t="s">
        <v>200</v>
      </c>
      <c r="F21" s="68">
        <v>0.25</v>
      </c>
      <c r="G21" s="68" t="s">
        <v>210</v>
      </c>
      <c r="H21" s="68">
        <v>15.21</v>
      </c>
      <c r="I21" s="67" t="s">
        <v>157</v>
      </c>
      <c r="J21" s="85">
        <v>6.9</v>
      </c>
      <c r="K21" s="68" t="s">
        <v>420</v>
      </c>
      <c r="L21" s="68">
        <v>0.15</v>
      </c>
      <c r="M21" s="68">
        <v>502</v>
      </c>
      <c r="N21" s="68">
        <v>0</v>
      </c>
      <c r="O21" s="68">
        <v>0</v>
      </c>
      <c r="P21" s="68">
        <v>284</v>
      </c>
      <c r="Q21" s="78">
        <v>33</v>
      </c>
      <c r="R21">
        <f t="shared" si="0"/>
        <v>89.100000000000009</v>
      </c>
      <c r="S21" s="80">
        <f t="shared" si="1"/>
        <v>11.474747474747474</v>
      </c>
      <c r="T21" s="80">
        <f t="shared" si="2"/>
        <v>20.28282828282828</v>
      </c>
    </row>
    <row r="22" spans="1:20" ht="15.75" thickBot="1" x14ac:dyDescent="0.3">
      <c r="A22" s="71" t="s">
        <v>258</v>
      </c>
      <c r="B22" s="85">
        <v>1.8</v>
      </c>
      <c r="C22" s="68">
        <v>1.8</v>
      </c>
      <c r="D22" s="68" t="s">
        <v>417</v>
      </c>
      <c r="E22" s="68" t="s">
        <v>158</v>
      </c>
      <c r="F22" s="68">
        <v>0.08</v>
      </c>
      <c r="G22" s="68" t="s">
        <v>189</v>
      </c>
      <c r="H22" s="68">
        <v>17.309999999999999</v>
      </c>
      <c r="I22" s="67" t="s">
        <v>157</v>
      </c>
      <c r="J22" s="85">
        <v>0.3</v>
      </c>
      <c r="K22" s="68" t="s">
        <v>418</v>
      </c>
      <c r="L22" s="68">
        <v>0.01</v>
      </c>
      <c r="M22" s="68">
        <v>156</v>
      </c>
      <c r="N22" s="68">
        <v>0</v>
      </c>
      <c r="O22" s="68">
        <v>0</v>
      </c>
      <c r="P22" s="68">
        <v>6</v>
      </c>
      <c r="Q22">
        <f>5.6+5.3</f>
        <v>10.899999999999999</v>
      </c>
      <c r="R22">
        <f t="shared" si="0"/>
        <v>29.43</v>
      </c>
      <c r="S22" s="80">
        <f t="shared" si="1"/>
        <v>0.73394495412844041</v>
      </c>
      <c r="T22" s="80">
        <f t="shared" si="2"/>
        <v>19.082568807339449</v>
      </c>
    </row>
    <row r="23" spans="1:20" ht="15.75" thickBot="1" x14ac:dyDescent="0.3">
      <c r="A23" s="71" t="s">
        <v>195</v>
      </c>
      <c r="S23" s="80"/>
      <c r="T23" s="80"/>
    </row>
    <row r="24" spans="1:20" ht="15.75" thickBot="1" x14ac:dyDescent="0.3">
      <c r="A24" s="71" t="s">
        <v>198</v>
      </c>
      <c r="B24" s="85">
        <v>10.7</v>
      </c>
      <c r="C24" s="68">
        <v>9.9</v>
      </c>
      <c r="D24" s="68" t="s">
        <v>421</v>
      </c>
      <c r="E24" s="68" t="s">
        <v>186</v>
      </c>
      <c r="F24" s="68">
        <v>0.46</v>
      </c>
      <c r="G24" s="68" t="s">
        <v>197</v>
      </c>
      <c r="H24" s="68">
        <v>21.23</v>
      </c>
      <c r="I24" s="67" t="s">
        <v>157</v>
      </c>
      <c r="J24" s="85">
        <v>2.7</v>
      </c>
      <c r="K24" s="68" t="s">
        <v>220</v>
      </c>
      <c r="L24" s="68">
        <v>0.06</v>
      </c>
      <c r="M24" s="68">
        <v>851</v>
      </c>
      <c r="N24" s="68">
        <v>0</v>
      </c>
      <c r="O24" s="68">
        <v>0</v>
      </c>
      <c r="P24" s="68">
        <v>64</v>
      </c>
      <c r="Q24" s="79">
        <v>40</v>
      </c>
      <c r="R24">
        <f t="shared" si="0"/>
        <v>108</v>
      </c>
      <c r="S24" s="80">
        <f t="shared" si="1"/>
        <v>2.1333333333333333</v>
      </c>
      <c r="T24" s="80">
        <f t="shared" si="2"/>
        <v>28.366666666666667</v>
      </c>
    </row>
    <row r="25" spans="1:20" ht="15.75" thickBot="1" x14ac:dyDescent="0.3">
      <c r="A25" s="71" t="s">
        <v>199</v>
      </c>
      <c r="B25" s="85">
        <v>0.9</v>
      </c>
      <c r="C25" s="68">
        <v>0.7</v>
      </c>
      <c r="D25" s="68" t="s">
        <v>424</v>
      </c>
      <c r="E25" s="68" t="s">
        <v>176</v>
      </c>
      <c r="F25" s="68">
        <v>0.04</v>
      </c>
      <c r="G25" s="68" t="s">
        <v>177</v>
      </c>
      <c r="H25" s="68">
        <v>3.9</v>
      </c>
      <c r="I25" s="67" t="s">
        <v>157</v>
      </c>
      <c r="J25" s="85">
        <v>0.5</v>
      </c>
      <c r="K25" s="68" t="s">
        <v>425</v>
      </c>
      <c r="L25" s="68">
        <v>0.01</v>
      </c>
      <c r="M25" s="68">
        <v>60</v>
      </c>
      <c r="N25" s="68">
        <v>0</v>
      </c>
      <c r="O25" s="68">
        <v>0</v>
      </c>
      <c r="P25" s="68">
        <v>22</v>
      </c>
      <c r="Q25" s="79">
        <v>15.4</v>
      </c>
      <c r="R25">
        <f t="shared" si="0"/>
        <v>41.580000000000005</v>
      </c>
      <c r="S25" s="80">
        <f t="shared" si="1"/>
        <v>1.9047619047619047</v>
      </c>
      <c r="T25" s="80">
        <f t="shared" si="2"/>
        <v>5.1948051948051939</v>
      </c>
    </row>
    <row r="26" spans="1:20" ht="15.75" thickBot="1" x14ac:dyDescent="0.3">
      <c r="A26" s="71" t="s">
        <v>259</v>
      </c>
      <c r="B26" s="85">
        <v>0.4</v>
      </c>
      <c r="C26" s="68">
        <v>0.4</v>
      </c>
      <c r="D26" s="68" t="s">
        <v>233</v>
      </c>
      <c r="E26" s="68" t="s">
        <v>192</v>
      </c>
      <c r="F26" s="68">
        <v>0.02</v>
      </c>
      <c r="G26" s="68" t="s">
        <v>422</v>
      </c>
      <c r="H26" s="68">
        <v>3.91</v>
      </c>
      <c r="I26" s="67" t="s">
        <v>157</v>
      </c>
      <c r="J26" s="85">
        <v>0.6</v>
      </c>
      <c r="K26" s="68" t="s">
        <v>423</v>
      </c>
      <c r="L26" s="68">
        <v>0.01</v>
      </c>
      <c r="M26" s="68">
        <v>38</v>
      </c>
      <c r="N26" s="68">
        <v>0</v>
      </c>
      <c r="O26" s="68">
        <v>0</v>
      </c>
      <c r="P26" s="68">
        <v>25</v>
      </c>
      <c r="Q26">
        <f>6.7+3.1</f>
        <v>9.8000000000000007</v>
      </c>
      <c r="R26">
        <f t="shared" si="0"/>
        <v>26.460000000000004</v>
      </c>
      <c r="S26" s="80">
        <f t="shared" si="1"/>
        <v>3.4013605442176864</v>
      </c>
      <c r="T26" s="80">
        <f t="shared" si="2"/>
        <v>5.1700680272108839</v>
      </c>
    </row>
    <row r="27" spans="1:20" ht="15.75" thickBot="1" x14ac:dyDescent="0.3">
      <c r="A27" s="71" t="s">
        <v>260</v>
      </c>
      <c r="S27" s="80"/>
      <c r="T27" s="80"/>
    </row>
    <row r="28" spans="1:20" ht="15.75" thickBot="1" x14ac:dyDescent="0.3">
      <c r="A28" s="71" t="s">
        <v>204</v>
      </c>
      <c r="B28" s="85">
        <v>7.3</v>
      </c>
      <c r="C28" s="68">
        <v>7.3</v>
      </c>
      <c r="D28" s="68" t="s">
        <v>426</v>
      </c>
      <c r="E28" s="68" t="s">
        <v>202</v>
      </c>
      <c r="F28" s="68">
        <v>0.32</v>
      </c>
      <c r="G28" s="68" t="s">
        <v>203</v>
      </c>
      <c r="H28" s="68">
        <v>6.69</v>
      </c>
      <c r="I28" s="67" t="s">
        <v>157</v>
      </c>
      <c r="J28" s="85">
        <v>5.6</v>
      </c>
      <c r="K28" s="68" t="s">
        <v>427</v>
      </c>
      <c r="L28" s="68">
        <v>0.12</v>
      </c>
      <c r="M28" s="68">
        <v>645</v>
      </c>
      <c r="N28" s="68">
        <v>0</v>
      </c>
      <c r="O28" s="68">
        <v>0</v>
      </c>
      <c r="P28" s="68">
        <v>209</v>
      </c>
      <c r="Q28" s="78">
        <v>96.4</v>
      </c>
      <c r="R28">
        <f t="shared" si="0"/>
        <v>260.28000000000003</v>
      </c>
      <c r="S28" s="80">
        <f t="shared" si="1"/>
        <v>2.8907330567081599</v>
      </c>
      <c r="T28" s="80">
        <f t="shared" si="2"/>
        <v>8.9211618257261396</v>
      </c>
    </row>
    <row r="29" spans="1:20" ht="15.75" thickBot="1" x14ac:dyDescent="0.3">
      <c r="A29" s="71" t="s">
        <v>206</v>
      </c>
      <c r="B29" s="85">
        <v>2.1</v>
      </c>
      <c r="C29" s="68">
        <v>2.1</v>
      </c>
      <c r="D29" s="68" t="s">
        <v>428</v>
      </c>
      <c r="E29" s="68" t="s">
        <v>176</v>
      </c>
      <c r="F29" s="68">
        <v>0.09</v>
      </c>
      <c r="G29" s="68" t="s">
        <v>184</v>
      </c>
      <c r="H29" s="68">
        <v>13.32</v>
      </c>
      <c r="I29" s="67" t="s">
        <v>157</v>
      </c>
      <c r="J29" s="85">
        <v>1.2</v>
      </c>
      <c r="K29" s="68" t="s">
        <v>429</v>
      </c>
      <c r="L29" s="68">
        <v>0.03</v>
      </c>
      <c r="M29" s="68">
        <v>203</v>
      </c>
      <c r="N29" s="68">
        <v>0</v>
      </c>
      <c r="O29" s="68">
        <v>0</v>
      </c>
      <c r="P29" s="68">
        <v>38</v>
      </c>
      <c r="Q29" s="79">
        <v>15.2</v>
      </c>
      <c r="R29">
        <f t="shared" si="0"/>
        <v>41.04</v>
      </c>
      <c r="S29" s="80">
        <f t="shared" si="1"/>
        <v>3.3333333333333335</v>
      </c>
      <c r="T29" s="80">
        <f t="shared" si="2"/>
        <v>17.807017543859651</v>
      </c>
    </row>
    <row r="30" spans="1:20" ht="15.75" thickBot="1" x14ac:dyDescent="0.3">
      <c r="A30" s="71" t="s">
        <v>207</v>
      </c>
      <c r="B30" s="85">
        <v>1.8</v>
      </c>
      <c r="C30" s="68">
        <v>1.8</v>
      </c>
      <c r="D30" s="68" t="s">
        <v>430</v>
      </c>
      <c r="E30" s="68" t="s">
        <v>176</v>
      </c>
      <c r="F30" s="68">
        <v>0.08</v>
      </c>
      <c r="G30" s="68" t="s">
        <v>184</v>
      </c>
      <c r="H30" s="68">
        <v>11.32</v>
      </c>
      <c r="I30" s="67" t="s">
        <v>157</v>
      </c>
      <c r="J30" s="85">
        <v>1.2</v>
      </c>
      <c r="K30" s="68" t="s">
        <v>431</v>
      </c>
      <c r="L30" s="68">
        <v>0.03</v>
      </c>
      <c r="M30" s="68">
        <v>172</v>
      </c>
      <c r="N30" s="68">
        <v>0</v>
      </c>
      <c r="O30" s="68">
        <v>0</v>
      </c>
      <c r="P30" s="68">
        <v>38</v>
      </c>
      <c r="Q30" s="79">
        <v>15.2</v>
      </c>
      <c r="R30">
        <f t="shared" si="0"/>
        <v>41.04</v>
      </c>
      <c r="S30" s="80">
        <f t="shared" si="1"/>
        <v>3.3333333333333335</v>
      </c>
      <c r="T30" s="80">
        <f t="shared" si="2"/>
        <v>15.087719298245615</v>
      </c>
    </row>
    <row r="31" spans="1:20" ht="15.75" thickBot="1" x14ac:dyDescent="0.3">
      <c r="A31" s="71" t="s">
        <v>261</v>
      </c>
      <c r="B31" s="85">
        <v>6.2</v>
      </c>
      <c r="C31" s="68">
        <v>6</v>
      </c>
      <c r="D31" s="68" t="s">
        <v>432</v>
      </c>
      <c r="E31" s="68" t="s">
        <v>192</v>
      </c>
      <c r="F31" s="68">
        <v>0.27</v>
      </c>
      <c r="G31" s="68" t="s">
        <v>433</v>
      </c>
      <c r="H31" s="68">
        <v>19.670000000000002</v>
      </c>
      <c r="I31" s="67" t="s">
        <v>157</v>
      </c>
      <c r="J31" s="85">
        <v>4</v>
      </c>
      <c r="K31" s="68" t="s">
        <v>434</v>
      </c>
      <c r="L31" s="68">
        <v>0.09</v>
      </c>
      <c r="M31" s="68">
        <v>592</v>
      </c>
      <c r="N31" s="68">
        <v>0</v>
      </c>
      <c r="O31" s="68">
        <v>0</v>
      </c>
      <c r="P31" s="68">
        <v>120</v>
      </c>
      <c r="Q31" s="79">
        <v>30.1</v>
      </c>
      <c r="R31">
        <f t="shared" si="0"/>
        <v>81.27000000000001</v>
      </c>
      <c r="S31" s="80">
        <f t="shared" si="1"/>
        <v>5.3156146179401986</v>
      </c>
      <c r="T31" s="80">
        <f t="shared" si="2"/>
        <v>26.223698781838316</v>
      </c>
    </row>
    <row r="32" spans="1:20" ht="15.75" thickBot="1" x14ac:dyDescent="0.3">
      <c r="A32" s="71" t="s">
        <v>262</v>
      </c>
      <c r="B32" s="85">
        <v>7</v>
      </c>
      <c r="C32" s="68">
        <v>6.8</v>
      </c>
      <c r="D32" s="68" t="s">
        <v>393</v>
      </c>
      <c r="E32" s="68" t="s">
        <v>158</v>
      </c>
      <c r="F32" s="68">
        <v>0.3</v>
      </c>
      <c r="G32" s="68" t="s">
        <v>159</v>
      </c>
      <c r="H32" s="68">
        <v>26.03</v>
      </c>
      <c r="I32" s="67" t="s">
        <v>157</v>
      </c>
      <c r="J32" s="85">
        <v>3.7</v>
      </c>
      <c r="K32" s="68" t="s">
        <v>435</v>
      </c>
      <c r="L32" s="68">
        <v>0.08</v>
      </c>
      <c r="M32" s="68">
        <v>630</v>
      </c>
      <c r="N32" s="68">
        <v>0</v>
      </c>
      <c r="O32" s="68">
        <v>0</v>
      </c>
      <c r="P32" s="68">
        <v>117</v>
      </c>
      <c r="Q32" s="79">
        <v>24.2</v>
      </c>
      <c r="R32">
        <f t="shared" si="0"/>
        <v>65.34</v>
      </c>
      <c r="S32" s="80">
        <f t="shared" si="1"/>
        <v>6.446280991735537</v>
      </c>
      <c r="T32" s="80">
        <f t="shared" si="2"/>
        <v>34.710743801652889</v>
      </c>
    </row>
    <row r="33" spans="1:20" ht="15.75" thickBot="1" x14ac:dyDescent="0.3">
      <c r="A33" s="71" t="s">
        <v>263</v>
      </c>
      <c r="S33" s="80"/>
      <c r="T33" s="80"/>
    </row>
    <row r="34" spans="1:20" ht="15.75" thickBot="1" x14ac:dyDescent="0.3">
      <c r="A34" s="71" t="s">
        <v>264</v>
      </c>
      <c r="B34" s="85">
        <v>4.8</v>
      </c>
      <c r="C34" s="68">
        <v>4.5999999999999996</v>
      </c>
      <c r="D34" s="68" t="s">
        <v>436</v>
      </c>
      <c r="E34" s="68" t="s">
        <v>173</v>
      </c>
      <c r="F34" s="68">
        <v>0.21</v>
      </c>
      <c r="G34" s="68" t="s">
        <v>210</v>
      </c>
      <c r="H34" s="68">
        <v>17.489999999999998</v>
      </c>
      <c r="I34" s="67" t="s">
        <v>157</v>
      </c>
      <c r="J34" s="85">
        <v>3.4</v>
      </c>
      <c r="K34" s="68" t="s">
        <v>437</v>
      </c>
      <c r="L34" s="68">
        <v>7.0000000000000007E-2</v>
      </c>
      <c r="M34" s="68">
        <v>427</v>
      </c>
      <c r="N34" s="68">
        <v>0</v>
      </c>
      <c r="O34" s="68">
        <v>0</v>
      </c>
      <c r="P34" s="68">
        <v>118</v>
      </c>
      <c r="Q34" s="79">
        <v>24.4</v>
      </c>
      <c r="R34">
        <f t="shared" si="0"/>
        <v>65.88</v>
      </c>
      <c r="S34" s="80">
        <f t="shared" si="1"/>
        <v>6.44808743169399</v>
      </c>
      <c r="T34" s="80">
        <f t="shared" si="2"/>
        <v>23.333333333333336</v>
      </c>
    </row>
    <row r="35" spans="1:20" ht="15.75" thickBot="1" x14ac:dyDescent="0.3">
      <c r="A35" s="71" t="s">
        <v>265</v>
      </c>
      <c r="S35" s="80"/>
      <c r="T35" s="80"/>
    </row>
    <row r="36" spans="1:20" ht="15.75" thickBot="1" x14ac:dyDescent="0.3">
      <c r="A36" s="71" t="s">
        <v>266</v>
      </c>
      <c r="B36" s="85">
        <v>4.8</v>
      </c>
      <c r="C36" s="68">
        <v>4.5999999999999996</v>
      </c>
      <c r="D36" s="68" t="s">
        <v>436</v>
      </c>
      <c r="E36" s="68" t="s">
        <v>173</v>
      </c>
      <c r="F36" s="68">
        <v>0.21</v>
      </c>
      <c r="G36" s="68" t="s">
        <v>210</v>
      </c>
      <c r="H36" s="68">
        <v>17.489999999999998</v>
      </c>
      <c r="I36" s="67" t="s">
        <v>157</v>
      </c>
      <c r="J36" s="85">
        <v>3.4</v>
      </c>
      <c r="K36" s="68" t="s">
        <v>437</v>
      </c>
      <c r="L36" s="68">
        <v>7.0000000000000007E-2</v>
      </c>
      <c r="M36" s="68">
        <v>427</v>
      </c>
      <c r="N36" s="68">
        <v>0</v>
      </c>
      <c r="O36" s="68">
        <v>0</v>
      </c>
      <c r="P36" s="68">
        <v>118</v>
      </c>
      <c r="Q36" s="79">
        <v>24.4</v>
      </c>
      <c r="R36">
        <f t="shared" si="0"/>
        <v>65.88</v>
      </c>
      <c r="S36" s="80">
        <f t="shared" si="1"/>
        <v>6.44808743169399</v>
      </c>
      <c r="T36" s="80">
        <f t="shared" si="2"/>
        <v>23.333333333333336</v>
      </c>
    </row>
    <row r="37" spans="1:20" ht="15.75" thickBot="1" x14ac:dyDescent="0.3">
      <c r="A37" s="71" t="s">
        <v>267</v>
      </c>
      <c r="S37" s="80"/>
      <c r="T37" s="80"/>
    </row>
    <row r="38" spans="1:20" ht="15.75" thickBot="1" x14ac:dyDescent="0.3">
      <c r="A38" s="71" t="s">
        <v>268</v>
      </c>
      <c r="B38" s="85">
        <v>5.6</v>
      </c>
      <c r="C38" s="68">
        <v>5.5</v>
      </c>
      <c r="D38" s="68" t="s">
        <v>172</v>
      </c>
      <c r="E38" s="68" t="s">
        <v>171</v>
      </c>
      <c r="F38" s="68">
        <v>0.24</v>
      </c>
      <c r="G38" s="68" t="s">
        <v>367</v>
      </c>
      <c r="H38" s="68">
        <v>17.059999999999999</v>
      </c>
      <c r="I38" s="67" t="s">
        <v>157</v>
      </c>
      <c r="J38" s="85">
        <v>3.8</v>
      </c>
      <c r="K38" s="68" t="s">
        <v>438</v>
      </c>
      <c r="L38" s="68">
        <v>0.08</v>
      </c>
      <c r="M38" s="68">
        <v>508</v>
      </c>
      <c r="N38" s="68">
        <v>0</v>
      </c>
      <c r="O38" s="68">
        <v>0</v>
      </c>
      <c r="P38" s="68">
        <v>144</v>
      </c>
      <c r="Q38" s="78">
        <v>29.8</v>
      </c>
      <c r="R38">
        <f t="shared" si="0"/>
        <v>80.460000000000008</v>
      </c>
      <c r="S38" s="80">
        <f t="shared" si="1"/>
        <v>6.4429530201342269</v>
      </c>
      <c r="T38" s="80">
        <f t="shared" si="2"/>
        <v>22.729306487695748</v>
      </c>
    </row>
    <row r="39" spans="1:20" ht="15.75" thickBot="1" x14ac:dyDescent="0.3">
      <c r="A39" s="71" t="s">
        <v>269</v>
      </c>
      <c r="S39" s="80"/>
      <c r="T39" s="80"/>
    </row>
    <row r="40" spans="1:20" ht="15.75" thickBot="1" x14ac:dyDescent="0.3">
      <c r="A40" s="71" t="s">
        <v>360</v>
      </c>
      <c r="B40" s="85">
        <v>5.6</v>
      </c>
      <c r="C40" s="68">
        <v>5.5</v>
      </c>
      <c r="D40" s="68" t="s">
        <v>172</v>
      </c>
      <c r="E40" s="68" t="s">
        <v>171</v>
      </c>
      <c r="F40" s="68">
        <v>0.24</v>
      </c>
      <c r="G40" s="68" t="s">
        <v>367</v>
      </c>
      <c r="H40" s="68">
        <v>17.059999999999999</v>
      </c>
      <c r="I40" s="67" t="s">
        <v>157</v>
      </c>
      <c r="J40" s="85">
        <v>3.8</v>
      </c>
      <c r="K40" s="68" t="s">
        <v>438</v>
      </c>
      <c r="L40" s="68">
        <v>0.08</v>
      </c>
      <c r="M40" s="68">
        <v>508</v>
      </c>
      <c r="N40" s="68">
        <v>0</v>
      </c>
      <c r="O40" s="68">
        <v>0</v>
      </c>
      <c r="P40" s="68">
        <v>144</v>
      </c>
      <c r="S40" s="80"/>
      <c r="T40" s="80"/>
    </row>
    <row r="41" spans="1:20" ht="15.75" thickBot="1" x14ac:dyDescent="0.3">
      <c r="A41" s="71" t="s">
        <v>361</v>
      </c>
      <c r="S41" s="80"/>
      <c r="T41" s="80"/>
    </row>
    <row r="42" spans="1:20" ht="15.75" thickBot="1" x14ac:dyDescent="0.3">
      <c r="A42" s="71" t="s">
        <v>362</v>
      </c>
      <c r="B42" s="85">
        <v>5.4</v>
      </c>
      <c r="C42" s="68">
        <v>5.4</v>
      </c>
      <c r="D42" s="68" t="s">
        <v>174</v>
      </c>
      <c r="E42" s="68" t="s">
        <v>441</v>
      </c>
      <c r="F42" s="68">
        <v>0.23</v>
      </c>
      <c r="G42" s="68" t="s">
        <v>442</v>
      </c>
      <c r="H42" s="68">
        <v>22.11</v>
      </c>
      <c r="I42" s="67" t="s">
        <v>157</v>
      </c>
      <c r="J42" s="85">
        <v>3.7</v>
      </c>
      <c r="K42" s="68" t="s">
        <v>431</v>
      </c>
      <c r="L42" s="68">
        <v>0.08</v>
      </c>
      <c r="M42" s="68">
        <v>531</v>
      </c>
      <c r="N42" s="68">
        <v>0</v>
      </c>
      <c r="O42" s="68">
        <v>0</v>
      </c>
      <c r="P42" s="68">
        <v>116</v>
      </c>
      <c r="S42" s="80"/>
      <c r="T42" s="80"/>
    </row>
    <row r="43" spans="1:20" ht="15.75" thickBot="1" x14ac:dyDescent="0.3">
      <c r="A43" s="71" t="s">
        <v>363</v>
      </c>
      <c r="S43" s="80"/>
      <c r="T43" s="80"/>
    </row>
    <row r="44" spans="1:20" ht="15.75" thickBot="1" x14ac:dyDescent="0.3">
      <c r="A44" s="71" t="s">
        <v>366</v>
      </c>
      <c r="B44" s="85">
        <v>1.8</v>
      </c>
      <c r="C44" s="68">
        <v>1.8</v>
      </c>
      <c r="D44" s="68" t="s">
        <v>443</v>
      </c>
      <c r="E44" s="68" t="s">
        <v>444</v>
      </c>
      <c r="F44" s="68">
        <v>0.08</v>
      </c>
      <c r="G44" s="68" t="s">
        <v>405</v>
      </c>
      <c r="H44" s="68">
        <v>14.65</v>
      </c>
      <c r="I44" s="67" t="s">
        <v>157</v>
      </c>
      <c r="J44" s="85">
        <v>1.6</v>
      </c>
      <c r="K44" s="68" t="s">
        <v>445</v>
      </c>
      <c r="L44" s="68">
        <v>0.04</v>
      </c>
      <c r="M44" s="68">
        <v>176</v>
      </c>
      <c r="N44" s="68">
        <v>0</v>
      </c>
      <c r="O44" s="68">
        <v>0</v>
      </c>
      <c r="P44" s="68">
        <v>58</v>
      </c>
      <c r="S44" s="80"/>
      <c r="T44" s="80"/>
    </row>
    <row r="45" spans="1:20" ht="15.75" thickBot="1" x14ac:dyDescent="0.3">
      <c r="A45" s="71" t="s">
        <v>365</v>
      </c>
      <c r="B45" s="85">
        <v>2.9</v>
      </c>
      <c r="C45" s="68">
        <v>2.9</v>
      </c>
      <c r="D45" s="68" t="s">
        <v>446</v>
      </c>
      <c r="E45" s="68" t="s">
        <v>447</v>
      </c>
      <c r="F45" s="68">
        <v>0.13</v>
      </c>
      <c r="G45" s="68" t="s">
        <v>405</v>
      </c>
      <c r="H45" s="68">
        <v>16.91</v>
      </c>
      <c r="I45" s="67" t="s">
        <v>157</v>
      </c>
      <c r="J45" s="85">
        <v>2.5</v>
      </c>
      <c r="K45" s="68" t="s">
        <v>448</v>
      </c>
      <c r="L45" s="68">
        <v>0.05</v>
      </c>
      <c r="M45" s="68">
        <v>301</v>
      </c>
      <c r="N45" s="68">
        <v>0</v>
      </c>
      <c r="O45" s="68">
        <v>0</v>
      </c>
      <c r="P45" s="68">
        <v>86</v>
      </c>
      <c r="S45" s="80"/>
      <c r="T45" s="80"/>
    </row>
    <row r="46" spans="1:20" ht="15.75" thickBot="1" x14ac:dyDescent="0.3">
      <c r="A46" s="71" t="s">
        <v>368</v>
      </c>
      <c r="B46" s="85">
        <v>8.6999999999999993</v>
      </c>
      <c r="C46" s="68">
        <v>8.5</v>
      </c>
      <c r="D46" s="68" t="s">
        <v>208</v>
      </c>
      <c r="E46" s="68" t="s">
        <v>449</v>
      </c>
      <c r="F46" s="68">
        <v>0.37</v>
      </c>
      <c r="G46" s="68" t="s">
        <v>367</v>
      </c>
      <c r="H46" s="68">
        <v>26.08</v>
      </c>
      <c r="I46" s="67" t="s">
        <v>157</v>
      </c>
      <c r="J46" s="85">
        <v>4.4000000000000004</v>
      </c>
      <c r="K46" s="68" t="s">
        <v>450</v>
      </c>
      <c r="L46" s="68">
        <v>0.1</v>
      </c>
      <c r="M46" s="68">
        <v>762</v>
      </c>
      <c r="N46" s="68">
        <v>0</v>
      </c>
      <c r="O46" s="68">
        <v>0</v>
      </c>
      <c r="P46" s="68">
        <v>141</v>
      </c>
      <c r="S46" s="80"/>
      <c r="T46" s="80"/>
    </row>
    <row r="47" spans="1:20" ht="15.75" thickBot="1" x14ac:dyDescent="0.3">
      <c r="A47" s="71" t="s">
        <v>369</v>
      </c>
      <c r="S47" s="80"/>
      <c r="T47" s="80"/>
    </row>
    <row r="48" spans="1:20" ht="15.75" thickBot="1" x14ac:dyDescent="0.3">
      <c r="A48" s="71" t="s">
        <v>270</v>
      </c>
      <c r="B48" s="85">
        <v>2.9</v>
      </c>
      <c r="C48" s="68">
        <v>2.8</v>
      </c>
      <c r="D48" s="68" t="s">
        <v>451</v>
      </c>
      <c r="E48" s="68" t="s">
        <v>192</v>
      </c>
      <c r="F48" s="68">
        <v>0.13</v>
      </c>
      <c r="G48" s="68" t="s">
        <v>159</v>
      </c>
      <c r="H48" s="68">
        <v>27.71</v>
      </c>
      <c r="I48" s="67" t="s">
        <v>157</v>
      </c>
      <c r="J48" s="85">
        <v>1.4</v>
      </c>
      <c r="K48" s="68" t="s">
        <v>452</v>
      </c>
      <c r="L48" s="68">
        <v>0.03</v>
      </c>
      <c r="M48" s="68">
        <v>258</v>
      </c>
      <c r="N48" s="68">
        <v>0</v>
      </c>
      <c r="O48" s="68">
        <v>0</v>
      </c>
      <c r="P48" s="68">
        <v>45</v>
      </c>
      <c r="Q48" s="79">
        <v>9.3000000000000007</v>
      </c>
      <c r="R48">
        <f t="shared" si="0"/>
        <v>25.110000000000003</v>
      </c>
      <c r="S48" s="80">
        <f t="shared" si="1"/>
        <v>6.4516129032258061</v>
      </c>
      <c r="T48" s="80">
        <f t="shared" si="2"/>
        <v>36.989247311827953</v>
      </c>
    </row>
    <row r="49" spans="1:20" ht="15.75" thickBot="1" x14ac:dyDescent="0.3">
      <c r="A49" s="71" t="s">
        <v>494</v>
      </c>
      <c r="S49" s="80"/>
      <c r="T49" s="80"/>
    </row>
    <row r="50" spans="1:20" ht="15.75" thickBot="1" x14ac:dyDescent="0.3">
      <c r="A50" s="71" t="s">
        <v>271</v>
      </c>
      <c r="B50" s="85">
        <v>7.8</v>
      </c>
      <c r="C50" s="68">
        <v>7.6</v>
      </c>
      <c r="D50" s="68" t="s">
        <v>453</v>
      </c>
      <c r="E50" s="68" t="s">
        <v>192</v>
      </c>
      <c r="F50" s="68">
        <v>0.33</v>
      </c>
      <c r="G50" s="68" t="s">
        <v>189</v>
      </c>
      <c r="H50" s="68">
        <v>27.93</v>
      </c>
      <c r="I50" s="67" t="s">
        <v>157</v>
      </c>
      <c r="J50" s="85">
        <v>3.7</v>
      </c>
      <c r="K50" s="68" t="s">
        <v>454</v>
      </c>
      <c r="L50" s="68">
        <v>0.08</v>
      </c>
      <c r="M50" s="68">
        <v>670</v>
      </c>
      <c r="N50" s="68">
        <v>0</v>
      </c>
      <c r="O50" s="68">
        <v>0</v>
      </c>
      <c r="P50" s="68">
        <v>116</v>
      </c>
      <c r="Q50" s="78">
        <v>24</v>
      </c>
      <c r="R50">
        <f t="shared" si="0"/>
        <v>64.800000000000011</v>
      </c>
      <c r="S50" s="80">
        <f t="shared" si="1"/>
        <v>6.4444444444444438</v>
      </c>
      <c r="T50" s="80">
        <f t="shared" si="2"/>
        <v>37.222222222222214</v>
      </c>
    </row>
    <row r="51" spans="1:20" ht="15.75" thickBot="1" x14ac:dyDescent="0.3">
      <c r="A51" s="71" t="s">
        <v>272</v>
      </c>
      <c r="S51" s="80"/>
      <c r="T51" s="80"/>
    </row>
    <row r="52" spans="1:20" ht="15.75" thickBot="1" x14ac:dyDescent="0.3">
      <c r="A52" s="71" t="s">
        <v>213</v>
      </c>
      <c r="B52" s="85">
        <v>18.600000000000001</v>
      </c>
      <c r="C52" s="68">
        <v>17.8</v>
      </c>
      <c r="D52" s="68" t="s">
        <v>231</v>
      </c>
      <c r="E52" s="68" t="s">
        <v>171</v>
      </c>
      <c r="F52" s="68">
        <v>0.8</v>
      </c>
      <c r="G52" s="68" t="s">
        <v>201</v>
      </c>
      <c r="H52" s="68">
        <v>13.94</v>
      </c>
      <c r="I52" s="67" t="s">
        <v>157</v>
      </c>
      <c r="J52" s="85">
        <v>25.2</v>
      </c>
      <c r="K52" s="68" t="s">
        <v>455</v>
      </c>
      <c r="L52" s="68">
        <v>0.54</v>
      </c>
      <c r="M52" s="68">
        <v>1659</v>
      </c>
      <c r="N52" s="68">
        <v>0</v>
      </c>
      <c r="O52" s="68">
        <v>0</v>
      </c>
      <c r="P52" s="68">
        <v>1023</v>
      </c>
      <c r="Q52">
        <f>119/2</f>
        <v>59.5</v>
      </c>
      <c r="R52">
        <f t="shared" si="0"/>
        <v>160.65</v>
      </c>
      <c r="S52" s="80">
        <v>2</v>
      </c>
      <c r="T52" s="80">
        <f t="shared" si="2"/>
        <v>37.176470588235297</v>
      </c>
    </row>
    <row r="53" spans="1:20" ht="15.75" thickBot="1" x14ac:dyDescent="0.3">
      <c r="A53" s="71" t="s">
        <v>213</v>
      </c>
      <c r="B53" s="85">
        <v>18.600000000000001</v>
      </c>
      <c r="C53" s="68">
        <v>17.8</v>
      </c>
      <c r="D53" s="68" t="s">
        <v>231</v>
      </c>
      <c r="E53" s="68" t="s">
        <v>171</v>
      </c>
      <c r="F53" s="68">
        <v>0.8</v>
      </c>
      <c r="G53" s="68" t="s">
        <v>201</v>
      </c>
      <c r="H53" s="68">
        <v>13.94</v>
      </c>
      <c r="I53" s="67" t="s">
        <v>157</v>
      </c>
      <c r="J53" s="85">
        <v>25.2</v>
      </c>
      <c r="K53" s="68" t="s">
        <v>455</v>
      </c>
      <c r="L53" s="68">
        <v>0.54</v>
      </c>
      <c r="M53" s="68">
        <v>1659</v>
      </c>
      <c r="N53" s="68">
        <v>0</v>
      </c>
      <c r="O53" s="68">
        <v>0</v>
      </c>
      <c r="P53" s="68">
        <v>1023</v>
      </c>
      <c r="Q53" s="78">
        <v>59.5</v>
      </c>
      <c r="R53">
        <f t="shared" si="0"/>
        <v>160.65</v>
      </c>
      <c r="S53" s="80">
        <v>2</v>
      </c>
      <c r="T53" s="80">
        <f t="shared" si="2"/>
        <v>37.176470588235297</v>
      </c>
    </row>
    <row r="54" spans="1:20" ht="15.75" thickBot="1" x14ac:dyDescent="0.3">
      <c r="A54" s="71" t="s">
        <v>273</v>
      </c>
      <c r="B54" s="85">
        <v>1.6</v>
      </c>
      <c r="C54" s="68">
        <v>1.3</v>
      </c>
      <c r="D54" s="68" t="s">
        <v>439</v>
      </c>
      <c r="E54" s="68" t="s">
        <v>202</v>
      </c>
      <c r="F54" s="68">
        <v>7.0000000000000007E-2</v>
      </c>
      <c r="G54" s="68" t="s">
        <v>177</v>
      </c>
      <c r="H54" s="68">
        <v>3.32</v>
      </c>
      <c r="I54" s="67" t="s">
        <v>157</v>
      </c>
      <c r="J54" s="85">
        <v>0.8</v>
      </c>
      <c r="K54" s="68" t="s">
        <v>440</v>
      </c>
      <c r="L54" s="68">
        <v>0.02</v>
      </c>
      <c r="M54" s="68">
        <v>104</v>
      </c>
      <c r="N54" s="68">
        <v>0</v>
      </c>
      <c r="O54" s="68">
        <v>0</v>
      </c>
      <c r="P54" s="68">
        <v>33</v>
      </c>
      <c r="Q54" s="78">
        <v>31.4</v>
      </c>
      <c r="R54">
        <f t="shared" si="0"/>
        <v>84.78</v>
      </c>
      <c r="S54" s="80">
        <f t="shared" si="1"/>
        <v>1.4012738853503184</v>
      </c>
      <c r="T54" s="80">
        <f t="shared" si="2"/>
        <v>4.4161358811040339</v>
      </c>
    </row>
    <row r="55" spans="1:20" ht="15.75" thickBot="1" x14ac:dyDescent="0.3">
      <c r="A55" s="71" t="s">
        <v>274</v>
      </c>
      <c r="S55" s="80"/>
      <c r="T55" s="80"/>
    </row>
    <row r="56" spans="1:20" ht="15.75" thickBot="1" x14ac:dyDescent="0.3">
      <c r="A56" s="71" t="s">
        <v>214</v>
      </c>
      <c r="B56" s="85">
        <v>1.7</v>
      </c>
      <c r="C56" s="68">
        <v>1.7</v>
      </c>
      <c r="D56" s="68" t="s">
        <v>453</v>
      </c>
      <c r="E56" s="68" t="s">
        <v>456</v>
      </c>
      <c r="F56" s="68">
        <v>7.0000000000000007E-2</v>
      </c>
      <c r="G56" s="68" t="s">
        <v>187</v>
      </c>
      <c r="H56" s="68">
        <v>7.51</v>
      </c>
      <c r="I56" s="67" t="s">
        <v>157</v>
      </c>
      <c r="J56" s="85">
        <v>2.2999999999999998</v>
      </c>
      <c r="K56" s="68" t="s">
        <v>457</v>
      </c>
      <c r="L56" s="68">
        <v>0.05</v>
      </c>
      <c r="M56" s="68">
        <v>150</v>
      </c>
      <c r="N56" s="68">
        <v>0</v>
      </c>
      <c r="O56" s="68">
        <v>0</v>
      </c>
      <c r="P56" s="68">
        <v>97</v>
      </c>
      <c r="Q56" s="78">
        <v>20</v>
      </c>
      <c r="R56">
        <f t="shared" si="0"/>
        <v>54</v>
      </c>
      <c r="S56" s="80">
        <f t="shared" si="1"/>
        <v>6.4666666666666668</v>
      </c>
      <c r="T56" s="80">
        <f t="shared" si="2"/>
        <v>10</v>
      </c>
    </row>
    <row r="57" spans="1:20" ht="15.75" thickBot="1" x14ac:dyDescent="0.3">
      <c r="A57" s="71" t="s">
        <v>346</v>
      </c>
      <c r="B57" s="85">
        <v>3.4</v>
      </c>
      <c r="C57" s="68">
        <v>3.3</v>
      </c>
      <c r="D57" s="68" t="s">
        <v>458</v>
      </c>
      <c r="E57" s="68" t="s">
        <v>192</v>
      </c>
      <c r="F57" s="68">
        <v>0.14000000000000001</v>
      </c>
      <c r="G57" s="68" t="s">
        <v>227</v>
      </c>
      <c r="H57" s="68">
        <v>22.65</v>
      </c>
      <c r="I57" s="67" t="s">
        <v>157</v>
      </c>
      <c r="J57" s="85">
        <v>2</v>
      </c>
      <c r="K57" s="68" t="s">
        <v>395</v>
      </c>
      <c r="L57" s="68">
        <v>0.04</v>
      </c>
      <c r="M57" s="68">
        <v>308</v>
      </c>
      <c r="N57" s="68">
        <v>0</v>
      </c>
      <c r="O57" s="68">
        <v>0</v>
      </c>
      <c r="P57" s="68">
        <v>66</v>
      </c>
      <c r="Q57" s="79">
        <v>13.6</v>
      </c>
      <c r="R57">
        <f t="shared" si="0"/>
        <v>36.72</v>
      </c>
      <c r="S57" s="80">
        <f t="shared" si="1"/>
        <v>6.4705882352941178</v>
      </c>
      <c r="T57" s="80">
        <f t="shared" si="2"/>
        <v>30.196078431372548</v>
      </c>
    </row>
    <row r="58" spans="1:20" ht="15.75" thickBot="1" x14ac:dyDescent="0.3">
      <c r="A58" s="71" t="s">
        <v>275</v>
      </c>
      <c r="B58" s="85">
        <v>6.6</v>
      </c>
      <c r="C58" s="68">
        <v>6.5</v>
      </c>
      <c r="D58" s="68" t="s">
        <v>185</v>
      </c>
      <c r="E58" s="68" t="s">
        <v>215</v>
      </c>
      <c r="F58" s="68">
        <v>0.28000000000000003</v>
      </c>
      <c r="G58" s="68" t="s">
        <v>227</v>
      </c>
      <c r="H58" s="68">
        <v>16.739999999999998</v>
      </c>
      <c r="I58" s="67" t="s">
        <v>157</v>
      </c>
      <c r="J58" s="85">
        <v>5</v>
      </c>
      <c r="K58" s="68" t="s">
        <v>448</v>
      </c>
      <c r="L58" s="68">
        <v>0.11</v>
      </c>
      <c r="M58" s="68">
        <v>608</v>
      </c>
      <c r="N58" s="68">
        <v>0</v>
      </c>
      <c r="O58" s="68">
        <v>0</v>
      </c>
      <c r="P58" s="68">
        <v>175</v>
      </c>
      <c r="Q58" s="79">
        <v>24.2</v>
      </c>
      <c r="R58">
        <f t="shared" si="0"/>
        <v>65.34</v>
      </c>
      <c r="S58" s="80">
        <f t="shared" si="1"/>
        <v>9.6418732782369148</v>
      </c>
      <c r="T58" s="80">
        <f t="shared" si="2"/>
        <v>33.498622589531685</v>
      </c>
    </row>
    <row r="59" spans="1:20" ht="15.75" thickBot="1" x14ac:dyDescent="0.3">
      <c r="A59" s="71" t="s">
        <v>276</v>
      </c>
      <c r="S59" s="80"/>
      <c r="T59" s="80"/>
    </row>
    <row r="60" spans="1:20" ht="15.75" thickBot="1" x14ac:dyDescent="0.3">
      <c r="A60" s="71" t="s">
        <v>217</v>
      </c>
      <c r="B60" s="85">
        <v>2.2000000000000002</v>
      </c>
      <c r="C60" s="68">
        <v>2.1</v>
      </c>
      <c r="D60" s="68" t="s">
        <v>459</v>
      </c>
      <c r="E60" s="68" t="s">
        <v>215</v>
      </c>
      <c r="F60" s="68">
        <v>0.09</v>
      </c>
      <c r="G60" s="68" t="s">
        <v>227</v>
      </c>
      <c r="H60" s="68">
        <v>16.739999999999998</v>
      </c>
      <c r="I60" s="67" t="s">
        <v>157</v>
      </c>
      <c r="J60" s="85">
        <v>1.6</v>
      </c>
      <c r="K60" s="68" t="s">
        <v>460</v>
      </c>
      <c r="L60" s="68">
        <v>0.03</v>
      </c>
      <c r="M60" s="68">
        <v>203</v>
      </c>
      <c r="N60" s="68">
        <v>0</v>
      </c>
      <c r="O60" s="68">
        <v>0</v>
      </c>
      <c r="P60" s="68">
        <v>58</v>
      </c>
      <c r="Q60" s="79">
        <v>12.1</v>
      </c>
      <c r="R60">
        <f t="shared" si="0"/>
        <v>32.67</v>
      </c>
      <c r="S60" s="80">
        <f t="shared" si="1"/>
        <v>6.3911845730027546</v>
      </c>
      <c r="T60" s="80">
        <f t="shared" si="2"/>
        <v>22.369146005509641</v>
      </c>
    </row>
    <row r="61" spans="1:20" ht="15.75" thickBot="1" x14ac:dyDescent="0.3">
      <c r="A61" s="71" t="s">
        <v>218</v>
      </c>
      <c r="B61" s="85">
        <v>4.9000000000000004</v>
      </c>
      <c r="C61" s="68">
        <v>4.8</v>
      </c>
      <c r="D61" s="68" t="s">
        <v>461</v>
      </c>
      <c r="E61" s="68" t="s">
        <v>202</v>
      </c>
      <c r="F61" s="68">
        <v>0.21</v>
      </c>
      <c r="G61" s="68" t="s">
        <v>184</v>
      </c>
      <c r="H61" s="68">
        <v>13.93</v>
      </c>
      <c r="I61" s="67" t="s">
        <v>157</v>
      </c>
      <c r="J61" s="85">
        <v>1.1000000000000001</v>
      </c>
      <c r="K61" s="68" t="s">
        <v>462</v>
      </c>
      <c r="L61" s="68">
        <v>0.02</v>
      </c>
      <c r="M61" s="68">
        <v>401</v>
      </c>
      <c r="N61" s="68">
        <v>0</v>
      </c>
      <c r="O61" s="68">
        <v>0</v>
      </c>
      <c r="P61" s="68">
        <v>20</v>
      </c>
      <c r="Q61" s="79">
        <v>28.8</v>
      </c>
      <c r="R61">
        <f t="shared" si="0"/>
        <v>77.760000000000005</v>
      </c>
      <c r="S61" s="80">
        <f t="shared" si="1"/>
        <v>0.92592592592592582</v>
      </c>
      <c r="T61" s="80">
        <f t="shared" si="2"/>
        <v>18.564814814814817</v>
      </c>
    </row>
    <row r="62" spans="1:20" ht="15.75" thickBot="1" x14ac:dyDescent="0.3">
      <c r="A62" s="71" t="s">
        <v>219</v>
      </c>
      <c r="B62" s="85">
        <v>1.8</v>
      </c>
      <c r="C62" s="68">
        <v>1.8</v>
      </c>
      <c r="D62" s="68" t="s">
        <v>443</v>
      </c>
      <c r="E62" s="68" t="s">
        <v>444</v>
      </c>
      <c r="F62" s="68">
        <v>0.08</v>
      </c>
      <c r="G62" s="68" t="s">
        <v>405</v>
      </c>
      <c r="H62" s="68">
        <v>14.65</v>
      </c>
      <c r="I62" s="67" t="s">
        <v>157</v>
      </c>
      <c r="J62" s="85">
        <v>1.6</v>
      </c>
      <c r="K62" s="68" t="s">
        <v>445</v>
      </c>
      <c r="L62" s="68">
        <v>0.04</v>
      </c>
      <c r="M62" s="68">
        <v>176</v>
      </c>
      <c r="N62" s="68">
        <v>0</v>
      </c>
      <c r="O62" s="68">
        <v>0</v>
      </c>
      <c r="P62" s="68">
        <v>58</v>
      </c>
      <c r="Q62" s="79">
        <v>12</v>
      </c>
      <c r="R62">
        <f t="shared" si="0"/>
        <v>32.400000000000006</v>
      </c>
      <c r="S62" s="80">
        <f t="shared" si="1"/>
        <v>6.4444444444444438</v>
      </c>
      <c r="T62" s="80">
        <f t="shared" si="2"/>
        <v>19.555555555555554</v>
      </c>
    </row>
    <row r="63" spans="1:20" ht="15.75" thickBot="1" x14ac:dyDescent="0.3">
      <c r="A63" s="71" t="s">
        <v>277</v>
      </c>
      <c r="B63" s="85">
        <v>5.5</v>
      </c>
      <c r="C63" s="68">
        <v>5.3</v>
      </c>
      <c r="D63" s="68" t="s">
        <v>463</v>
      </c>
      <c r="E63" s="68" t="s">
        <v>464</v>
      </c>
      <c r="F63" s="68">
        <v>0.24</v>
      </c>
      <c r="G63" s="68" t="s">
        <v>209</v>
      </c>
      <c r="H63" s="68">
        <v>22.06</v>
      </c>
      <c r="I63" s="67" t="s">
        <v>157</v>
      </c>
      <c r="J63" s="85">
        <v>3.6</v>
      </c>
      <c r="K63" s="68" t="s">
        <v>465</v>
      </c>
      <c r="L63" s="68">
        <v>0.08</v>
      </c>
      <c r="M63" s="68">
        <v>529</v>
      </c>
      <c r="N63" s="68">
        <v>0</v>
      </c>
      <c r="O63" s="68">
        <v>0</v>
      </c>
      <c r="P63" s="68">
        <v>116</v>
      </c>
      <c r="Q63" s="79">
        <v>24</v>
      </c>
      <c r="R63">
        <f t="shared" si="0"/>
        <v>64.800000000000011</v>
      </c>
      <c r="S63" s="80">
        <f t="shared" si="1"/>
        <v>6.4444444444444438</v>
      </c>
      <c r="T63" s="80">
        <f t="shared" si="2"/>
        <v>29.388888888888886</v>
      </c>
    </row>
    <row r="64" spans="1:20" ht="15.75" thickBot="1" x14ac:dyDescent="0.3">
      <c r="A64" s="71" t="s">
        <v>278</v>
      </c>
      <c r="S64" s="80"/>
      <c r="T64" s="80"/>
    </row>
    <row r="65" spans="1:20" ht="15.75" thickBot="1" x14ac:dyDescent="0.3">
      <c r="A65" s="71" t="s">
        <v>279</v>
      </c>
      <c r="B65" s="85">
        <v>7.5</v>
      </c>
      <c r="C65" s="68">
        <v>7.2</v>
      </c>
      <c r="D65" s="68" t="s">
        <v>466</v>
      </c>
      <c r="E65" s="68" t="s">
        <v>192</v>
      </c>
      <c r="F65" s="68">
        <v>0.32</v>
      </c>
      <c r="G65" s="68" t="s">
        <v>210</v>
      </c>
      <c r="H65" s="68">
        <v>26.59</v>
      </c>
      <c r="I65" s="67" t="s">
        <v>157</v>
      </c>
      <c r="J65" s="85">
        <v>3.7</v>
      </c>
      <c r="K65" s="68" t="s">
        <v>467</v>
      </c>
      <c r="L65" s="68">
        <v>0.08</v>
      </c>
      <c r="M65" s="68">
        <v>644</v>
      </c>
      <c r="N65" s="68">
        <v>0</v>
      </c>
      <c r="O65" s="68">
        <v>0</v>
      </c>
      <c r="P65" s="68">
        <v>117</v>
      </c>
      <c r="Q65" s="79">
        <v>24.2</v>
      </c>
      <c r="R65">
        <f t="shared" si="0"/>
        <v>65.34</v>
      </c>
      <c r="S65" s="80">
        <f t="shared" si="1"/>
        <v>6.446280991735537</v>
      </c>
      <c r="T65" s="80">
        <f t="shared" si="2"/>
        <v>35.482093663911847</v>
      </c>
    </row>
    <row r="66" spans="1:20" ht="15.75" thickBot="1" x14ac:dyDescent="0.3">
      <c r="A66" s="71" t="s">
        <v>280</v>
      </c>
      <c r="S66" s="80"/>
      <c r="T66" s="80"/>
    </row>
    <row r="67" spans="1:20" ht="15.75" thickBot="1" x14ac:dyDescent="0.3">
      <c r="A67" s="71" t="s">
        <v>281</v>
      </c>
      <c r="B67" s="85">
        <v>4.8</v>
      </c>
      <c r="C67" s="68">
        <v>4.7</v>
      </c>
      <c r="D67" s="68" t="s">
        <v>468</v>
      </c>
      <c r="E67" s="68" t="s">
        <v>173</v>
      </c>
      <c r="F67" s="68">
        <v>0.21</v>
      </c>
      <c r="G67" s="68" t="s">
        <v>159</v>
      </c>
      <c r="H67" s="68">
        <v>17.989999999999998</v>
      </c>
      <c r="I67" s="67" t="s">
        <v>157</v>
      </c>
      <c r="J67" s="85">
        <v>3.4</v>
      </c>
      <c r="K67" s="68" t="s">
        <v>469</v>
      </c>
      <c r="L67" s="68">
        <v>7.0000000000000007E-2</v>
      </c>
      <c r="M67" s="68">
        <v>439</v>
      </c>
      <c r="N67" s="68">
        <v>0</v>
      </c>
      <c r="O67" s="68">
        <v>0</v>
      </c>
      <c r="P67" s="68">
        <v>118</v>
      </c>
      <c r="Q67" s="79">
        <v>24.4</v>
      </c>
      <c r="R67">
        <f t="shared" si="0"/>
        <v>65.88</v>
      </c>
      <c r="S67" s="80">
        <f t="shared" si="1"/>
        <v>6.44808743169399</v>
      </c>
      <c r="T67" s="80">
        <f t="shared" si="2"/>
        <v>23.989071038251367</v>
      </c>
    </row>
    <row r="68" spans="1:20" ht="15.75" thickBot="1" x14ac:dyDescent="0.3">
      <c r="A68" s="71" t="s">
        <v>282</v>
      </c>
      <c r="S68" s="80"/>
      <c r="T68" s="80"/>
    </row>
    <row r="69" spans="1:20" ht="15.75" thickBot="1" x14ac:dyDescent="0.3">
      <c r="A69" s="71" t="s">
        <v>291</v>
      </c>
      <c r="B69" s="85">
        <v>5</v>
      </c>
      <c r="C69" s="68">
        <v>4.8</v>
      </c>
      <c r="D69" s="68" t="s">
        <v>470</v>
      </c>
      <c r="E69" s="68" t="s">
        <v>173</v>
      </c>
      <c r="F69" s="68">
        <v>0.21</v>
      </c>
      <c r="G69" s="68" t="s">
        <v>210</v>
      </c>
      <c r="H69" s="68">
        <v>18.100000000000001</v>
      </c>
      <c r="I69" s="67" t="s">
        <v>157</v>
      </c>
      <c r="J69" s="85">
        <v>3.3</v>
      </c>
      <c r="K69" s="68" t="s">
        <v>471</v>
      </c>
      <c r="L69" s="68">
        <v>7.0000000000000007E-2</v>
      </c>
      <c r="M69" s="68">
        <v>438</v>
      </c>
      <c r="N69" s="68">
        <v>0</v>
      </c>
      <c r="O69" s="68">
        <v>0</v>
      </c>
      <c r="P69" s="68">
        <v>117</v>
      </c>
      <c r="Q69" s="78">
        <v>22.2</v>
      </c>
      <c r="R69">
        <f t="shared" si="0"/>
        <v>59.940000000000005</v>
      </c>
      <c r="S69" s="80">
        <f t="shared" si="1"/>
        <v>7.0270270270270263</v>
      </c>
      <c r="T69" s="80">
        <f t="shared" si="2"/>
        <v>26.306306306306304</v>
      </c>
    </row>
    <row r="70" spans="1:20" ht="15.75" thickBot="1" x14ac:dyDescent="0.3">
      <c r="A70" s="71" t="s">
        <v>292</v>
      </c>
      <c r="S70" s="80"/>
      <c r="T70" s="80"/>
    </row>
    <row r="71" spans="1:20" ht="15.75" thickBot="1" x14ac:dyDescent="0.3">
      <c r="A71" s="71" t="s">
        <v>293</v>
      </c>
      <c r="B71" s="85">
        <v>8.5</v>
      </c>
      <c r="C71" s="68">
        <v>8.3000000000000007</v>
      </c>
      <c r="D71" s="68" t="s">
        <v>208</v>
      </c>
      <c r="E71" s="68" t="s">
        <v>192</v>
      </c>
      <c r="F71" s="68">
        <v>0.36</v>
      </c>
      <c r="G71" s="68" t="s">
        <v>189</v>
      </c>
      <c r="H71" s="68">
        <v>24.57</v>
      </c>
      <c r="I71" s="67" t="s">
        <v>157</v>
      </c>
      <c r="J71" s="85">
        <v>4.5</v>
      </c>
      <c r="K71" s="68" t="s">
        <v>472</v>
      </c>
      <c r="L71" s="68">
        <v>0.1</v>
      </c>
      <c r="M71" s="68">
        <v>732</v>
      </c>
      <c r="N71" s="68">
        <v>0</v>
      </c>
      <c r="O71" s="68">
        <v>0</v>
      </c>
      <c r="P71" s="68">
        <v>144</v>
      </c>
      <c r="Q71" s="78">
        <v>29.8</v>
      </c>
      <c r="R71">
        <f t="shared" si="0"/>
        <v>80.460000000000008</v>
      </c>
      <c r="S71" s="80">
        <f t="shared" si="1"/>
        <v>6.4429530201342269</v>
      </c>
      <c r="T71" s="80">
        <f t="shared" si="2"/>
        <v>32.75167785234899</v>
      </c>
    </row>
    <row r="72" spans="1:20" ht="15.75" thickBot="1" x14ac:dyDescent="0.3">
      <c r="A72" s="71" t="s">
        <v>294</v>
      </c>
      <c r="S72" s="80"/>
      <c r="T72" s="80"/>
    </row>
    <row r="73" spans="1:20" ht="15.75" thickBot="1" x14ac:dyDescent="0.3">
      <c r="A73" s="71" t="s">
        <v>290</v>
      </c>
      <c r="B73" s="85">
        <v>5.6</v>
      </c>
      <c r="C73" s="68">
        <v>5.5</v>
      </c>
      <c r="D73" s="68" t="s">
        <v>172</v>
      </c>
      <c r="E73" s="68" t="s">
        <v>171</v>
      </c>
      <c r="F73" s="68">
        <v>0.24</v>
      </c>
      <c r="G73" s="68" t="s">
        <v>367</v>
      </c>
      <c r="H73" s="68">
        <v>17.059999999999999</v>
      </c>
      <c r="I73" s="67" t="s">
        <v>157</v>
      </c>
      <c r="J73" s="85">
        <v>3.8</v>
      </c>
      <c r="K73" s="68" t="s">
        <v>438</v>
      </c>
      <c r="L73" s="68">
        <v>0.08</v>
      </c>
      <c r="M73" s="68">
        <v>508</v>
      </c>
      <c r="N73" s="68">
        <v>0</v>
      </c>
      <c r="O73" s="68">
        <v>0</v>
      </c>
      <c r="P73" s="68">
        <v>144</v>
      </c>
      <c r="Q73" s="78">
        <v>30.8</v>
      </c>
      <c r="R73">
        <f t="shared" si="0"/>
        <v>83.160000000000011</v>
      </c>
      <c r="S73" s="80">
        <f t="shared" si="1"/>
        <v>6.2337662337662323</v>
      </c>
      <c r="T73" s="80">
        <f t="shared" si="2"/>
        <v>21.991341991341987</v>
      </c>
    </row>
    <row r="74" spans="1:20" ht="15.75" thickBot="1" x14ac:dyDescent="0.3">
      <c r="A74" s="71" t="s">
        <v>295</v>
      </c>
      <c r="S74" s="80"/>
      <c r="T74" s="80"/>
    </row>
    <row r="75" spans="1:20" ht="15.75" thickBot="1" x14ac:dyDescent="0.3">
      <c r="A75" s="71" t="s">
        <v>221</v>
      </c>
      <c r="B75" s="85">
        <v>20.3</v>
      </c>
      <c r="C75" s="68">
        <v>18.3</v>
      </c>
      <c r="D75" s="68" t="s">
        <v>473</v>
      </c>
      <c r="E75" s="68" t="s">
        <v>158</v>
      </c>
      <c r="F75" s="68">
        <v>0.87</v>
      </c>
      <c r="G75" s="68" t="s">
        <v>175</v>
      </c>
      <c r="H75" s="68">
        <v>16.2</v>
      </c>
      <c r="I75" s="67" t="s">
        <v>157</v>
      </c>
      <c r="J75" s="85">
        <v>21.8</v>
      </c>
      <c r="K75" s="68" t="s">
        <v>474</v>
      </c>
      <c r="L75" s="68">
        <v>0.47</v>
      </c>
      <c r="M75" s="68">
        <v>1620</v>
      </c>
      <c r="N75" s="68">
        <v>0</v>
      </c>
      <c r="O75" s="68">
        <v>0</v>
      </c>
      <c r="P75" s="68">
        <v>860</v>
      </c>
      <c r="Q75" s="78">
        <v>50</v>
      </c>
      <c r="R75">
        <f t="shared" si="0"/>
        <v>135</v>
      </c>
      <c r="S75" s="80">
        <v>2</v>
      </c>
      <c r="T75" s="80">
        <f t="shared" si="2"/>
        <v>43.2</v>
      </c>
    </row>
    <row r="76" spans="1:20" ht="15.75" thickBot="1" x14ac:dyDescent="0.3">
      <c r="A76" s="71" t="s">
        <v>221</v>
      </c>
      <c r="B76" s="85">
        <v>20.3</v>
      </c>
      <c r="C76" s="68">
        <v>18.3</v>
      </c>
      <c r="D76" s="68" t="s">
        <v>473</v>
      </c>
      <c r="E76" s="68" t="s">
        <v>158</v>
      </c>
      <c r="F76" s="68">
        <v>0.87</v>
      </c>
      <c r="G76" s="68" t="s">
        <v>175</v>
      </c>
      <c r="H76" s="68">
        <v>16.2</v>
      </c>
      <c r="I76" s="67" t="s">
        <v>157</v>
      </c>
      <c r="J76" s="85">
        <v>21.8</v>
      </c>
      <c r="K76" s="68" t="s">
        <v>474</v>
      </c>
      <c r="L76" s="68">
        <v>0.47</v>
      </c>
      <c r="M76" s="68">
        <v>1620</v>
      </c>
      <c r="N76" s="68">
        <v>0</v>
      </c>
      <c r="O76" s="68">
        <v>0</v>
      </c>
      <c r="P76" s="68">
        <v>860</v>
      </c>
      <c r="Q76" s="78">
        <v>50</v>
      </c>
      <c r="R76">
        <f t="shared" si="0"/>
        <v>135</v>
      </c>
      <c r="S76" s="80">
        <v>2</v>
      </c>
      <c r="T76" s="80">
        <f t="shared" si="2"/>
        <v>43.2</v>
      </c>
    </row>
    <row r="77" spans="1:20" ht="15.75" thickBot="1" x14ac:dyDescent="0.3">
      <c r="A77" s="71" t="s">
        <v>289</v>
      </c>
      <c r="B77" s="85">
        <v>5.8</v>
      </c>
      <c r="C77" s="68">
        <v>5.7</v>
      </c>
      <c r="D77" s="68" t="s">
        <v>231</v>
      </c>
      <c r="E77" s="68" t="s">
        <v>475</v>
      </c>
      <c r="F77" s="68">
        <v>0.25</v>
      </c>
      <c r="G77" s="68" t="s">
        <v>442</v>
      </c>
      <c r="H77" s="68">
        <v>22.44</v>
      </c>
      <c r="I77" s="67" t="s">
        <v>157</v>
      </c>
      <c r="J77" s="85">
        <v>3.8</v>
      </c>
      <c r="K77" s="68" t="s">
        <v>476</v>
      </c>
      <c r="L77" s="68">
        <v>0.08</v>
      </c>
      <c r="M77" s="68">
        <v>539</v>
      </c>
      <c r="N77" s="68">
        <v>0</v>
      </c>
      <c r="O77" s="68">
        <v>0</v>
      </c>
      <c r="P77" s="68">
        <v>116</v>
      </c>
      <c r="Q77" s="79">
        <v>24</v>
      </c>
      <c r="R77">
        <f t="shared" si="0"/>
        <v>64.800000000000011</v>
      </c>
      <c r="S77" s="80">
        <f t="shared" si="1"/>
        <v>6.4444444444444438</v>
      </c>
      <c r="T77" s="80">
        <f t="shared" si="2"/>
        <v>29.944444444444439</v>
      </c>
    </row>
    <row r="78" spans="1:20" ht="15.75" thickBot="1" x14ac:dyDescent="0.3">
      <c r="A78" s="71" t="s">
        <v>288</v>
      </c>
      <c r="S78" s="80"/>
      <c r="T78" s="80"/>
    </row>
    <row r="79" spans="1:20" ht="15.75" thickBot="1" x14ac:dyDescent="0.3">
      <c r="A79" s="71" t="s">
        <v>224</v>
      </c>
      <c r="B79" s="85">
        <v>1.8</v>
      </c>
      <c r="C79" s="68">
        <v>1.8</v>
      </c>
      <c r="D79" s="68" t="s">
        <v>446</v>
      </c>
      <c r="E79" s="68" t="s">
        <v>477</v>
      </c>
      <c r="F79" s="68">
        <v>0.08</v>
      </c>
      <c r="G79" s="68" t="s">
        <v>405</v>
      </c>
      <c r="H79" s="68">
        <v>14.81</v>
      </c>
      <c r="I79" s="67" t="s">
        <v>157</v>
      </c>
      <c r="J79" s="85">
        <v>1.6</v>
      </c>
      <c r="K79" s="68" t="s">
        <v>445</v>
      </c>
      <c r="L79" s="68">
        <v>0.04</v>
      </c>
      <c r="M79" s="68">
        <v>178</v>
      </c>
      <c r="N79" s="68">
        <v>0</v>
      </c>
      <c r="O79" s="68">
        <v>0</v>
      </c>
      <c r="P79" s="68">
        <v>58</v>
      </c>
      <c r="Q79" s="79">
        <v>12</v>
      </c>
      <c r="R79">
        <f t="shared" si="0"/>
        <v>32.400000000000006</v>
      </c>
      <c r="S79" s="80">
        <f t="shared" si="1"/>
        <v>6.4444444444444438</v>
      </c>
      <c r="T79" s="80">
        <f t="shared" si="2"/>
        <v>19.777777777777775</v>
      </c>
    </row>
    <row r="80" spans="1:20" ht="15.75" thickBot="1" x14ac:dyDescent="0.3">
      <c r="A80" s="71" t="s">
        <v>287</v>
      </c>
      <c r="B80" s="85">
        <v>3.1</v>
      </c>
      <c r="C80" s="68">
        <v>3.1</v>
      </c>
      <c r="D80" s="68" t="s">
        <v>174</v>
      </c>
      <c r="E80" s="68" t="s">
        <v>477</v>
      </c>
      <c r="F80" s="68">
        <v>0.13</v>
      </c>
      <c r="G80" s="68" t="s">
        <v>403</v>
      </c>
      <c r="H80" s="68">
        <v>17.079999999999998</v>
      </c>
      <c r="I80" s="67" t="s">
        <v>157</v>
      </c>
      <c r="J80" s="85">
        <v>2.5</v>
      </c>
      <c r="K80" s="68" t="s">
        <v>478</v>
      </c>
      <c r="L80" s="68">
        <v>0.05</v>
      </c>
      <c r="M80" s="68">
        <v>304</v>
      </c>
      <c r="N80" s="68">
        <v>0</v>
      </c>
      <c r="O80" s="68">
        <v>0</v>
      </c>
      <c r="P80" s="68">
        <v>86</v>
      </c>
      <c r="Q80" s="79">
        <v>17.8</v>
      </c>
      <c r="R80">
        <f t="shared" ref="R80:R89" si="4">Q80*2.7</f>
        <v>48.06</v>
      </c>
      <c r="S80" s="80">
        <f t="shared" ref="S80:S89" si="5">P80*3.6/R80</f>
        <v>6.4419475655430709</v>
      </c>
      <c r="T80" s="80">
        <f t="shared" ref="T80:T89" si="6">M80*3.6/R80</f>
        <v>22.771535580524347</v>
      </c>
    </row>
    <row r="81" spans="1:20" ht="15.75" thickBot="1" x14ac:dyDescent="0.3">
      <c r="A81" s="71" t="s">
        <v>226</v>
      </c>
      <c r="B81" s="85">
        <v>13.9</v>
      </c>
      <c r="C81" s="68">
        <v>12.3</v>
      </c>
      <c r="D81" s="68" t="s">
        <v>231</v>
      </c>
      <c r="E81" s="68" t="s">
        <v>192</v>
      </c>
      <c r="F81" s="68">
        <v>0.6</v>
      </c>
      <c r="G81" s="68" t="s">
        <v>189</v>
      </c>
      <c r="H81" s="68">
        <v>21.67</v>
      </c>
      <c r="I81" s="67" t="s">
        <v>157</v>
      </c>
      <c r="J81" s="85">
        <v>6.3</v>
      </c>
      <c r="K81" s="68" t="s">
        <v>479</v>
      </c>
      <c r="L81" s="68">
        <v>0.14000000000000001</v>
      </c>
      <c r="M81" s="68">
        <v>1083</v>
      </c>
      <c r="N81" s="68">
        <v>0</v>
      </c>
      <c r="O81" s="68">
        <v>0</v>
      </c>
      <c r="P81" s="68">
        <v>203</v>
      </c>
      <c r="Q81" s="79">
        <v>50</v>
      </c>
      <c r="R81">
        <f t="shared" si="4"/>
        <v>135</v>
      </c>
      <c r="S81" s="80">
        <f t="shared" si="5"/>
        <v>5.413333333333334</v>
      </c>
      <c r="T81" s="80">
        <f t="shared" si="6"/>
        <v>28.880000000000003</v>
      </c>
    </row>
    <row r="82" spans="1:20" ht="15.75" thickBot="1" x14ac:dyDescent="0.3">
      <c r="A82" s="71" t="s">
        <v>228</v>
      </c>
      <c r="B82" s="85">
        <v>1.4</v>
      </c>
      <c r="C82" s="68">
        <v>1.4</v>
      </c>
      <c r="D82" s="68" t="s">
        <v>461</v>
      </c>
      <c r="E82" s="68" t="s">
        <v>202</v>
      </c>
      <c r="F82" s="68">
        <v>0.06</v>
      </c>
      <c r="G82" s="68" t="s">
        <v>227</v>
      </c>
      <c r="H82" s="68">
        <v>14.1</v>
      </c>
      <c r="I82" s="67" t="s">
        <v>157</v>
      </c>
      <c r="J82" s="85">
        <v>0.3</v>
      </c>
      <c r="K82" s="68" t="s">
        <v>480</v>
      </c>
      <c r="L82" s="68">
        <v>0.01</v>
      </c>
      <c r="M82" s="68">
        <v>114</v>
      </c>
      <c r="N82" s="68">
        <v>0</v>
      </c>
      <c r="O82" s="68">
        <v>0</v>
      </c>
      <c r="P82" s="68">
        <v>6</v>
      </c>
      <c r="Q82" s="79">
        <v>8.1</v>
      </c>
      <c r="R82">
        <f t="shared" si="4"/>
        <v>21.87</v>
      </c>
      <c r="S82" s="80">
        <f t="shared" si="5"/>
        <v>0.98765432098765438</v>
      </c>
      <c r="T82" s="80">
        <f t="shared" si="6"/>
        <v>18.765432098765434</v>
      </c>
    </row>
    <row r="83" spans="1:20" ht="15.75" thickBot="1" x14ac:dyDescent="0.3">
      <c r="A83" s="71" t="s">
        <v>229</v>
      </c>
      <c r="B83" s="85">
        <v>2.9</v>
      </c>
      <c r="C83" s="68">
        <v>2.8</v>
      </c>
      <c r="D83" s="68" t="s">
        <v>481</v>
      </c>
      <c r="E83" s="68" t="s">
        <v>202</v>
      </c>
      <c r="F83" s="68">
        <v>0.12</v>
      </c>
      <c r="G83" s="68" t="s">
        <v>482</v>
      </c>
      <c r="H83" s="68">
        <v>11.94</v>
      </c>
      <c r="I83" s="67" t="s">
        <v>157</v>
      </c>
      <c r="J83" s="85">
        <v>0.7</v>
      </c>
      <c r="K83" s="68" t="s">
        <v>483</v>
      </c>
      <c r="L83" s="68">
        <v>0.02</v>
      </c>
      <c r="M83" s="68">
        <v>236</v>
      </c>
      <c r="N83" s="68">
        <v>0</v>
      </c>
      <c r="O83" s="68">
        <v>0</v>
      </c>
      <c r="P83" s="68">
        <v>14</v>
      </c>
      <c r="Q83" s="79">
        <v>19.8</v>
      </c>
      <c r="R83">
        <f t="shared" si="4"/>
        <v>53.460000000000008</v>
      </c>
      <c r="S83" s="80">
        <f t="shared" si="5"/>
        <v>0.94276094276094258</v>
      </c>
      <c r="T83" s="80">
        <f t="shared" si="6"/>
        <v>15.892255892255891</v>
      </c>
    </row>
    <row r="84" spans="1:20" ht="15.75" thickBot="1" x14ac:dyDescent="0.3">
      <c r="A84" s="71" t="s">
        <v>286</v>
      </c>
      <c r="B84" s="85">
        <v>3.4</v>
      </c>
      <c r="C84" s="68">
        <v>3.3</v>
      </c>
      <c r="D84" s="68" t="s">
        <v>484</v>
      </c>
      <c r="E84" s="68" t="s">
        <v>158</v>
      </c>
      <c r="F84" s="68">
        <v>0.15</v>
      </c>
      <c r="G84" s="68" t="s">
        <v>227</v>
      </c>
      <c r="H84" s="68">
        <v>12.41</v>
      </c>
      <c r="I84" s="67" t="s">
        <v>157</v>
      </c>
      <c r="J84" s="85">
        <v>0.8</v>
      </c>
      <c r="K84" s="68" t="s">
        <v>485</v>
      </c>
      <c r="L84" s="68">
        <v>0.02</v>
      </c>
      <c r="M84" s="68">
        <v>286</v>
      </c>
      <c r="N84" s="68">
        <v>0</v>
      </c>
      <c r="O84" s="68">
        <v>0</v>
      </c>
      <c r="P84" s="68">
        <v>16</v>
      </c>
      <c r="Q84" s="79">
        <v>23</v>
      </c>
      <c r="R84">
        <f t="shared" si="4"/>
        <v>62.1</v>
      </c>
      <c r="S84" s="80">
        <f t="shared" si="5"/>
        <v>0.92753623188405798</v>
      </c>
      <c r="T84" s="80">
        <f t="shared" si="6"/>
        <v>16.579710144927539</v>
      </c>
    </row>
    <row r="85" spans="1:20" ht="15.75" thickBot="1" x14ac:dyDescent="0.3">
      <c r="A85" s="71" t="s">
        <v>285</v>
      </c>
      <c r="B85" s="85">
        <v>2.6</v>
      </c>
      <c r="C85" s="68">
        <v>2.5</v>
      </c>
      <c r="D85" s="68" t="s">
        <v>486</v>
      </c>
      <c r="E85" s="68" t="s">
        <v>230</v>
      </c>
      <c r="F85" s="68">
        <v>0.11</v>
      </c>
      <c r="G85" s="68" t="s">
        <v>216</v>
      </c>
      <c r="H85" s="68">
        <v>33.18</v>
      </c>
      <c r="I85" s="67" t="s">
        <v>157</v>
      </c>
      <c r="J85" s="85">
        <v>0.5</v>
      </c>
      <c r="K85" s="68" t="s">
        <v>487</v>
      </c>
      <c r="L85" s="68">
        <v>0.01</v>
      </c>
      <c r="M85" s="68">
        <v>219</v>
      </c>
      <c r="N85" s="68">
        <v>0</v>
      </c>
      <c r="O85" s="68">
        <v>0</v>
      </c>
      <c r="P85" s="68">
        <v>5</v>
      </c>
      <c r="Q85" s="79">
        <v>6.6</v>
      </c>
      <c r="R85">
        <f t="shared" si="4"/>
        <v>17.82</v>
      </c>
      <c r="S85" s="80">
        <f t="shared" si="5"/>
        <v>1.0101010101010102</v>
      </c>
      <c r="T85" s="80">
        <f t="shared" si="6"/>
        <v>44.242424242424242</v>
      </c>
    </row>
    <row r="86" spans="1:20" ht="15.75" thickBot="1" x14ac:dyDescent="0.3">
      <c r="A86" s="71" t="s">
        <v>284</v>
      </c>
      <c r="B86" s="85">
        <v>2</v>
      </c>
      <c r="C86" s="68">
        <v>2</v>
      </c>
      <c r="D86" s="68" t="s">
        <v>461</v>
      </c>
      <c r="E86" s="68" t="s">
        <v>202</v>
      </c>
      <c r="F86" s="68">
        <v>0.09</v>
      </c>
      <c r="G86" s="68" t="s">
        <v>184</v>
      </c>
      <c r="H86" s="68">
        <v>14.18</v>
      </c>
      <c r="I86" s="67" t="s">
        <v>157</v>
      </c>
      <c r="J86" s="85">
        <v>0.5</v>
      </c>
      <c r="K86" s="68" t="s">
        <v>488</v>
      </c>
      <c r="L86" s="68">
        <v>0.01</v>
      </c>
      <c r="M86" s="68">
        <v>166</v>
      </c>
      <c r="N86" s="68">
        <v>0</v>
      </c>
      <c r="O86" s="68">
        <v>0</v>
      </c>
      <c r="P86" s="68">
        <v>8</v>
      </c>
      <c r="Q86" s="79">
        <v>11.7</v>
      </c>
      <c r="R86">
        <f t="shared" si="4"/>
        <v>31.59</v>
      </c>
      <c r="S86" s="80">
        <f t="shared" si="5"/>
        <v>0.9116809116809117</v>
      </c>
      <c r="T86" s="80">
        <f t="shared" si="6"/>
        <v>18.917378917378919</v>
      </c>
    </row>
    <row r="87" spans="1:20" ht="15.75" thickBot="1" x14ac:dyDescent="0.3">
      <c r="A87" s="71" t="s">
        <v>283</v>
      </c>
      <c r="B87" s="85">
        <v>2.1</v>
      </c>
      <c r="C87" s="68">
        <v>2.1</v>
      </c>
      <c r="D87" s="68" t="s">
        <v>489</v>
      </c>
      <c r="E87" s="68" t="s">
        <v>192</v>
      </c>
      <c r="F87" s="68">
        <v>0.09</v>
      </c>
      <c r="G87" s="68" t="s">
        <v>184</v>
      </c>
      <c r="H87" s="68">
        <v>18</v>
      </c>
      <c r="I87" s="67" t="s">
        <v>157</v>
      </c>
      <c r="J87" s="85">
        <v>0.5</v>
      </c>
      <c r="K87" s="68" t="s">
        <v>490</v>
      </c>
      <c r="L87" s="68">
        <v>0.01</v>
      </c>
      <c r="M87" s="68">
        <v>176</v>
      </c>
      <c r="N87" s="68">
        <v>0</v>
      </c>
      <c r="O87" s="68">
        <v>0</v>
      </c>
      <c r="P87" s="68">
        <v>7</v>
      </c>
      <c r="Q87" s="79">
        <v>9.8000000000000007</v>
      </c>
      <c r="R87">
        <f t="shared" si="4"/>
        <v>26.460000000000004</v>
      </c>
      <c r="S87" s="80">
        <f t="shared" si="5"/>
        <v>0.95238095238095222</v>
      </c>
      <c r="T87" s="80">
        <f t="shared" si="6"/>
        <v>23.945578231292515</v>
      </c>
    </row>
    <row r="88" spans="1:20" ht="15.75" thickBot="1" x14ac:dyDescent="0.3">
      <c r="A88" s="71" t="s">
        <v>232</v>
      </c>
      <c r="B88" s="85">
        <v>2.5</v>
      </c>
      <c r="C88" s="68">
        <v>2.5</v>
      </c>
      <c r="D88" s="68" t="s">
        <v>489</v>
      </c>
      <c r="E88" s="68" t="s">
        <v>192</v>
      </c>
      <c r="F88" s="68">
        <v>0.11</v>
      </c>
      <c r="G88" s="68" t="s">
        <v>184</v>
      </c>
      <c r="H88" s="68">
        <v>17.809999999999999</v>
      </c>
      <c r="I88" s="67" t="s">
        <v>157</v>
      </c>
      <c r="J88" s="85">
        <v>0.6</v>
      </c>
      <c r="K88" s="68" t="s">
        <v>491</v>
      </c>
      <c r="L88" s="68">
        <v>0.01</v>
      </c>
      <c r="M88" s="68">
        <v>212</v>
      </c>
      <c r="N88" s="68">
        <v>0</v>
      </c>
      <c r="O88" s="68">
        <v>0</v>
      </c>
      <c r="P88" s="68">
        <v>8</v>
      </c>
      <c r="Q88" s="79">
        <v>11.9</v>
      </c>
      <c r="R88">
        <f t="shared" si="4"/>
        <v>32.130000000000003</v>
      </c>
      <c r="S88" s="80">
        <f t="shared" si="5"/>
        <v>0.89635854341736687</v>
      </c>
      <c r="T88" s="80">
        <f t="shared" si="6"/>
        <v>23.753501400560225</v>
      </c>
    </row>
    <row r="89" spans="1:20" ht="15.75" thickBot="1" x14ac:dyDescent="0.3">
      <c r="A89" s="71" t="s">
        <v>234</v>
      </c>
      <c r="B89" s="85">
        <v>4.5</v>
      </c>
      <c r="C89" s="68">
        <v>4.4000000000000004</v>
      </c>
      <c r="D89" s="68" t="s">
        <v>486</v>
      </c>
      <c r="E89" s="68" t="s">
        <v>215</v>
      </c>
      <c r="F89" s="68">
        <v>0.19</v>
      </c>
      <c r="G89" s="68" t="s">
        <v>209</v>
      </c>
      <c r="H89" s="68">
        <v>26.36</v>
      </c>
      <c r="I89" s="67" t="s">
        <v>157</v>
      </c>
      <c r="J89" s="85">
        <v>1.1000000000000001</v>
      </c>
      <c r="K89" s="68" t="s">
        <v>492</v>
      </c>
      <c r="L89" s="68">
        <v>0.02</v>
      </c>
      <c r="M89" s="68">
        <v>380</v>
      </c>
      <c r="N89" s="68">
        <v>0</v>
      </c>
      <c r="O89" s="68">
        <v>0</v>
      </c>
      <c r="P89" s="68">
        <v>10</v>
      </c>
      <c r="Q89" s="79">
        <v>14.4</v>
      </c>
      <c r="R89">
        <f t="shared" si="4"/>
        <v>38.880000000000003</v>
      </c>
      <c r="S89" s="80">
        <f t="shared" si="5"/>
        <v>0.92592592592592582</v>
      </c>
      <c r="T89" s="80">
        <f t="shared" si="6"/>
        <v>35.185185185185183</v>
      </c>
    </row>
    <row r="94" spans="1:20" ht="15.75" thickBot="1" x14ac:dyDescent="0.3"/>
    <row r="95" spans="1:20" ht="34.5" thickBot="1" x14ac:dyDescent="0.3">
      <c r="A95" s="102" t="s">
        <v>152</v>
      </c>
      <c r="B95" s="61" t="s">
        <v>165</v>
      </c>
      <c r="C95" s="61" t="s">
        <v>236</v>
      </c>
      <c r="D95" s="61" t="s">
        <v>151</v>
      </c>
      <c r="E95" s="61" t="s">
        <v>237</v>
      </c>
      <c r="F95" s="61" t="s">
        <v>237</v>
      </c>
      <c r="G95" s="61" t="s">
        <v>151</v>
      </c>
      <c r="H95" s="61" t="s">
        <v>151</v>
      </c>
      <c r="I95" s="61" t="s">
        <v>240</v>
      </c>
    </row>
    <row r="96" spans="1:20" ht="23.25" thickBot="1" x14ac:dyDescent="0.3">
      <c r="A96" s="116"/>
      <c r="B96" s="63" t="s">
        <v>235</v>
      </c>
      <c r="C96" s="63" t="s">
        <v>235</v>
      </c>
      <c r="D96" s="63" t="s">
        <v>156</v>
      </c>
      <c r="E96" s="63" t="s">
        <v>140</v>
      </c>
      <c r="F96" s="63" t="s">
        <v>140</v>
      </c>
      <c r="G96" s="63" t="s">
        <v>239</v>
      </c>
      <c r="H96" s="63" t="s">
        <v>239</v>
      </c>
      <c r="I96" s="63" t="s">
        <v>241</v>
      </c>
      <c r="J96" s="60" t="s">
        <v>138</v>
      </c>
      <c r="K96" s="61" t="s">
        <v>151</v>
      </c>
      <c r="L96" s="61" t="s">
        <v>138</v>
      </c>
      <c r="M96" s="61" t="s">
        <v>151</v>
      </c>
      <c r="N96" s="61" t="s">
        <v>151</v>
      </c>
    </row>
    <row r="97" spans="1:17" ht="45" x14ac:dyDescent="0.25">
      <c r="A97" s="116"/>
      <c r="B97" s="63" t="s">
        <v>168</v>
      </c>
      <c r="C97" s="63" t="s">
        <v>168</v>
      </c>
      <c r="D97" s="70"/>
      <c r="E97" s="63" t="s">
        <v>147</v>
      </c>
      <c r="F97" s="63" t="s">
        <v>141</v>
      </c>
      <c r="G97" s="63" t="s">
        <v>140</v>
      </c>
      <c r="H97" s="63" t="s">
        <v>141</v>
      </c>
      <c r="I97" s="63" t="s">
        <v>168</v>
      </c>
      <c r="J97" s="62" t="s">
        <v>138</v>
      </c>
      <c r="K97" s="63" t="s">
        <v>242</v>
      </c>
      <c r="L97" s="63" t="s">
        <v>243</v>
      </c>
      <c r="M97" s="63" t="s">
        <v>160</v>
      </c>
      <c r="N97" s="63" t="s">
        <v>244</v>
      </c>
      <c r="P97" s="81" t="s">
        <v>359</v>
      </c>
    </row>
    <row r="98" spans="1:17" ht="33.75" customHeight="1" thickBot="1" x14ac:dyDescent="0.3">
      <c r="A98" s="116"/>
      <c r="B98" s="63" t="s">
        <v>155</v>
      </c>
      <c r="C98" s="63" t="s">
        <v>155</v>
      </c>
      <c r="D98" s="70"/>
      <c r="E98" s="63" t="s">
        <v>153</v>
      </c>
      <c r="F98" s="63" t="s">
        <v>92</v>
      </c>
      <c r="G98" s="63" t="s">
        <v>147</v>
      </c>
      <c r="H98" s="63" t="s">
        <v>92</v>
      </c>
      <c r="I98" s="63" t="s">
        <v>155</v>
      </c>
      <c r="J98" s="62" t="s">
        <v>138</v>
      </c>
      <c r="K98" s="63" t="s">
        <v>245</v>
      </c>
      <c r="L98" s="63" t="s">
        <v>246</v>
      </c>
      <c r="M98" s="63" t="s">
        <v>147</v>
      </c>
      <c r="N98" s="63" t="s">
        <v>247</v>
      </c>
      <c r="P98" s="82" t="s">
        <v>155</v>
      </c>
    </row>
    <row r="99" spans="1:17" ht="23.25" thickBot="1" x14ac:dyDescent="0.3">
      <c r="A99" s="103"/>
      <c r="B99" s="69"/>
      <c r="C99" s="69"/>
      <c r="D99" s="69"/>
      <c r="E99" s="69"/>
      <c r="F99" s="65" t="s">
        <v>238</v>
      </c>
      <c r="G99" s="65" t="s">
        <v>153</v>
      </c>
      <c r="H99" s="65" t="s">
        <v>238</v>
      </c>
      <c r="I99" s="69"/>
      <c r="J99" s="64" t="s">
        <v>152</v>
      </c>
      <c r="K99" s="65" t="s">
        <v>153</v>
      </c>
      <c r="L99" s="65" t="s">
        <v>248</v>
      </c>
      <c r="M99" s="65" t="s">
        <v>153</v>
      </c>
      <c r="N99" s="65" t="s">
        <v>249</v>
      </c>
      <c r="P99" s="83" t="s">
        <v>138</v>
      </c>
    </row>
    <row r="100" spans="1:17" ht="15.75" thickBot="1" x14ac:dyDescent="0.3">
      <c r="A100" s="71" t="s">
        <v>296</v>
      </c>
      <c r="B100" s="85">
        <v>210</v>
      </c>
      <c r="C100" s="68">
        <v>210</v>
      </c>
      <c r="D100" s="68">
        <v>18.71</v>
      </c>
      <c r="E100" s="68">
        <v>0</v>
      </c>
      <c r="F100" s="68" t="s">
        <v>30</v>
      </c>
      <c r="G100" s="68">
        <v>0</v>
      </c>
      <c r="H100" s="68" t="s">
        <v>30</v>
      </c>
      <c r="I100" s="68">
        <v>0</v>
      </c>
      <c r="J100" s="66" t="s">
        <v>157</v>
      </c>
      <c r="K100" s="85">
        <v>2.4</v>
      </c>
      <c r="L100" s="68" t="s">
        <v>159</v>
      </c>
      <c r="M100" s="68">
        <v>0.3</v>
      </c>
      <c r="N100" s="68">
        <v>11.2</v>
      </c>
      <c r="P100" s="85">
        <v>15.7</v>
      </c>
      <c r="Q100" s="79"/>
    </row>
    <row r="101" spans="1:17" ht="15.75" thickBot="1" x14ac:dyDescent="0.3">
      <c r="A101" s="71" t="s">
        <v>251</v>
      </c>
      <c r="B101" s="85">
        <v>17</v>
      </c>
      <c r="C101" s="68">
        <v>17</v>
      </c>
      <c r="D101" s="68">
        <v>2.19</v>
      </c>
      <c r="E101" s="68">
        <v>0</v>
      </c>
      <c r="F101" s="68" t="s">
        <v>30</v>
      </c>
      <c r="G101" s="68">
        <v>0</v>
      </c>
      <c r="H101" s="68" t="s">
        <v>30</v>
      </c>
      <c r="I101" s="68">
        <v>0</v>
      </c>
      <c r="J101" s="67" t="s">
        <v>157</v>
      </c>
      <c r="K101" s="85">
        <v>0.2</v>
      </c>
      <c r="L101" s="68" t="s">
        <v>250</v>
      </c>
      <c r="M101" s="68">
        <v>0</v>
      </c>
      <c r="N101" s="68">
        <v>7.8</v>
      </c>
      <c r="P101" s="85">
        <v>11.7</v>
      </c>
      <c r="Q101" s="79"/>
    </row>
    <row r="102" spans="1:17" ht="15.75" thickBot="1" x14ac:dyDescent="0.3">
      <c r="A102" s="67" t="s">
        <v>493</v>
      </c>
      <c r="B102" s="85">
        <v>250</v>
      </c>
      <c r="C102" s="68">
        <v>250</v>
      </c>
      <c r="D102" s="68">
        <v>12.6</v>
      </c>
      <c r="E102" s="68">
        <v>0</v>
      </c>
      <c r="F102" s="68" t="s">
        <v>30</v>
      </c>
      <c r="G102" s="68">
        <v>0</v>
      </c>
      <c r="H102" s="68" t="s">
        <v>30</v>
      </c>
      <c r="I102" s="68">
        <v>0</v>
      </c>
      <c r="J102" s="67" t="s">
        <v>157</v>
      </c>
      <c r="K102" s="85">
        <v>2.8</v>
      </c>
      <c r="L102" s="68" t="s">
        <v>227</v>
      </c>
      <c r="M102" s="68">
        <v>0.3</v>
      </c>
      <c r="N102" s="68">
        <v>19.8</v>
      </c>
      <c r="P102" s="85">
        <v>49.5</v>
      </c>
      <c r="Q102" s="79"/>
    </row>
    <row r="103" spans="1:17" ht="15.75" thickBot="1" x14ac:dyDescent="0.3">
      <c r="A103" s="71" t="s">
        <v>253</v>
      </c>
      <c r="B103" s="68">
        <v>67</v>
      </c>
      <c r="C103" s="68">
        <v>67</v>
      </c>
      <c r="D103" s="68">
        <v>2.2400000000000002</v>
      </c>
      <c r="E103" s="68">
        <v>0</v>
      </c>
      <c r="F103" s="68" t="s">
        <v>30</v>
      </c>
      <c r="G103" s="68">
        <v>0</v>
      </c>
      <c r="H103" s="68" t="s">
        <v>30</v>
      </c>
      <c r="I103" s="68">
        <v>0</v>
      </c>
      <c r="J103" s="67" t="s">
        <v>157</v>
      </c>
      <c r="K103" s="68">
        <v>0.8</v>
      </c>
      <c r="L103" s="68" t="s">
        <v>252</v>
      </c>
      <c r="M103" s="68">
        <v>0.2</v>
      </c>
      <c r="N103" s="68">
        <v>30.1</v>
      </c>
      <c r="P103" s="85">
        <v>35</v>
      </c>
      <c r="Q103" s="79"/>
    </row>
    <row r="104" spans="1:17" ht="15.75" thickBot="1" x14ac:dyDescent="0.3">
      <c r="A104" s="71" t="s">
        <v>297</v>
      </c>
      <c r="B104" s="85">
        <v>125</v>
      </c>
      <c r="C104" s="68">
        <v>125</v>
      </c>
      <c r="D104" s="68">
        <v>2.2400000000000002</v>
      </c>
      <c r="E104" s="68">
        <v>0</v>
      </c>
      <c r="F104" s="68" t="s">
        <v>30</v>
      </c>
      <c r="G104" s="68">
        <v>0</v>
      </c>
      <c r="H104" s="68" t="s">
        <v>30</v>
      </c>
      <c r="I104" s="68">
        <v>0</v>
      </c>
      <c r="J104" s="67" t="s">
        <v>157</v>
      </c>
      <c r="K104" s="85">
        <v>1.4</v>
      </c>
      <c r="L104" s="68" t="s">
        <v>252</v>
      </c>
      <c r="M104" s="68">
        <v>0.3</v>
      </c>
      <c r="N104" s="68">
        <v>55.7</v>
      </c>
      <c r="P104" s="85">
        <v>35</v>
      </c>
      <c r="Q104" s="79"/>
    </row>
    <row r="105" spans="1:17" ht="15.75" thickBot="1" x14ac:dyDescent="0.3">
      <c r="A105" s="71" t="s">
        <v>525</v>
      </c>
      <c r="B105" s="68">
        <v>67</v>
      </c>
      <c r="C105" s="68">
        <v>67</v>
      </c>
      <c r="D105" s="68">
        <v>2.2400000000000002</v>
      </c>
      <c r="E105" s="68">
        <v>0</v>
      </c>
      <c r="F105" s="68" t="s">
        <v>30</v>
      </c>
      <c r="G105" s="68">
        <v>0</v>
      </c>
      <c r="H105" s="68" t="s">
        <v>30</v>
      </c>
      <c r="I105" s="68">
        <v>0</v>
      </c>
      <c r="J105" s="67" t="s">
        <v>157</v>
      </c>
      <c r="K105" s="68">
        <v>0.8</v>
      </c>
      <c r="L105" s="68" t="s">
        <v>252</v>
      </c>
      <c r="M105" s="68">
        <v>0.2</v>
      </c>
      <c r="N105" s="68">
        <v>30.1</v>
      </c>
      <c r="P105" s="85">
        <v>35</v>
      </c>
      <c r="Q105" s="79"/>
    </row>
    <row r="106" spans="1:17" ht="15.75" thickBot="1" x14ac:dyDescent="0.3">
      <c r="A106" s="71" t="s">
        <v>526</v>
      </c>
      <c r="B106" s="85">
        <v>125</v>
      </c>
      <c r="C106" s="68">
        <v>125</v>
      </c>
      <c r="D106" s="68">
        <v>2.2400000000000002</v>
      </c>
      <c r="E106" s="68">
        <v>0</v>
      </c>
      <c r="F106" s="68" t="s">
        <v>30</v>
      </c>
      <c r="G106" s="68">
        <v>0</v>
      </c>
      <c r="H106" s="68" t="s">
        <v>30</v>
      </c>
      <c r="I106" s="68">
        <v>0</v>
      </c>
      <c r="J106" s="67" t="s">
        <v>157</v>
      </c>
      <c r="K106" s="85">
        <v>1.4</v>
      </c>
      <c r="L106" s="68" t="s">
        <v>252</v>
      </c>
      <c r="M106" s="68">
        <v>0.3</v>
      </c>
      <c r="N106" s="68">
        <v>55.7</v>
      </c>
      <c r="P106" s="85">
        <v>35</v>
      </c>
      <c r="Q106" s="79"/>
    </row>
    <row r="107" spans="1:17" ht="15.75" thickBot="1" x14ac:dyDescent="0.3">
      <c r="A107" s="71" t="s">
        <v>254</v>
      </c>
      <c r="B107" s="85">
        <v>14</v>
      </c>
      <c r="C107" s="68">
        <v>14</v>
      </c>
      <c r="D107" s="68">
        <v>3.36</v>
      </c>
      <c r="E107" s="68">
        <v>0</v>
      </c>
      <c r="F107" s="68" t="s">
        <v>30</v>
      </c>
      <c r="G107" s="68">
        <v>0</v>
      </c>
      <c r="H107" s="68" t="s">
        <v>30</v>
      </c>
      <c r="I107" s="68">
        <v>0</v>
      </c>
      <c r="J107" s="67" t="s">
        <v>157</v>
      </c>
      <c r="K107" s="85">
        <v>0.2</v>
      </c>
      <c r="L107" s="68" t="s">
        <v>405</v>
      </c>
      <c r="M107" s="68">
        <v>0</v>
      </c>
      <c r="N107" s="68">
        <v>4.2</v>
      </c>
      <c r="P107" s="85">
        <v>2.9</v>
      </c>
      <c r="Q107" s="79"/>
    </row>
    <row r="111" spans="1:17" ht="15.75" thickBot="1" x14ac:dyDescent="0.3"/>
    <row r="112" spans="1:17" ht="15.75" thickBot="1" x14ac:dyDescent="0.3">
      <c r="J112" s="71"/>
    </row>
  </sheetData>
  <mergeCells count="1">
    <mergeCell ref="A95:A9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Fancoils</vt:lpstr>
      <vt:lpstr>EQUIPOS</vt:lpstr>
      <vt:lpstr>CALCULO</vt:lpstr>
      <vt:lpstr>REPORTE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Carlos Ulloa</cp:lastModifiedBy>
  <dcterms:created xsi:type="dcterms:W3CDTF">2018-10-26T01:17:38Z</dcterms:created>
  <dcterms:modified xsi:type="dcterms:W3CDTF">2022-08-02T16:00:20Z</dcterms:modified>
</cp:coreProperties>
</file>